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ncic\Desktop\"/>
    </mc:Choice>
  </mc:AlternateContent>
  <bookViews>
    <workbookView xWindow="11505" yWindow="-15" windowWidth="11550" windowHeight="9690"/>
  </bookViews>
  <sheets>
    <sheet name="REGISTAR 1.1.2015.-31.12.2015." sheetId="2" r:id="rId1"/>
  </sheets>
  <definedNames>
    <definedName name="_xlnm._FilterDatabase" localSheetId="0" hidden="1">'REGISTAR 1.1.2015.-31.12.2015.'!$B$5:$P$1799</definedName>
  </definedNames>
  <calcPr calcId="152511"/>
</workbook>
</file>

<file path=xl/calcChain.xml><?xml version="1.0" encoding="utf-8"?>
<calcChain xmlns="http://schemas.openxmlformats.org/spreadsheetml/2006/main">
  <c r="G741" i="2" l="1"/>
  <c r="G1360" i="2"/>
  <c r="G1743" i="2"/>
  <c r="O890" i="2" l="1"/>
  <c r="J890" i="2"/>
  <c r="O1429" i="2"/>
  <c r="O1329" i="2"/>
  <c r="O601" i="2"/>
  <c r="O572" i="2"/>
  <c r="O548" i="2"/>
  <c r="C741" i="2" l="1"/>
  <c r="O741" i="2"/>
  <c r="H741" i="2"/>
  <c r="O436" i="2" l="1"/>
  <c r="O1754" i="2" l="1"/>
  <c r="O959" i="2" l="1"/>
  <c r="O1155" i="2"/>
  <c r="J1155" i="2"/>
  <c r="O1799" i="2" l="1"/>
  <c r="J1799" i="2"/>
  <c r="H1799" i="2"/>
  <c r="G1799" i="2"/>
  <c r="C1799" i="2"/>
  <c r="O1798" i="2"/>
  <c r="N1798" i="2"/>
  <c r="J1798" i="2"/>
  <c r="H1798" i="2"/>
  <c r="G1798" i="2"/>
  <c r="C1798" i="2"/>
  <c r="O1797" i="2"/>
  <c r="J1797" i="2"/>
  <c r="G1797" i="2"/>
  <c r="C1797" i="2"/>
  <c r="O1796" i="2"/>
  <c r="J1796" i="2"/>
  <c r="H1796" i="2"/>
  <c r="G1796" i="2"/>
  <c r="C1796" i="2"/>
  <c r="O1795" i="2"/>
  <c r="J1795" i="2"/>
  <c r="G1795" i="2"/>
  <c r="C1795" i="2"/>
  <c r="O1794" i="2"/>
  <c r="N1794" i="2"/>
  <c r="J1794" i="2"/>
  <c r="G1794" i="2"/>
  <c r="C1794" i="2"/>
  <c r="O1793" i="2"/>
  <c r="J1793" i="2"/>
  <c r="G1793" i="2"/>
  <c r="C1793" i="2"/>
  <c r="O1792" i="2"/>
  <c r="J1792" i="2"/>
  <c r="G1792" i="2"/>
  <c r="C1792" i="2"/>
  <c r="O1791" i="2"/>
  <c r="N1791" i="2"/>
  <c r="J1791" i="2"/>
  <c r="G1791" i="2"/>
  <c r="C1791" i="2"/>
  <c r="O1790" i="2"/>
  <c r="J1790" i="2"/>
  <c r="G1790" i="2"/>
  <c r="C1790" i="2"/>
  <c r="O1789" i="2"/>
  <c r="J1789" i="2"/>
  <c r="H1789" i="2"/>
  <c r="G1789" i="2"/>
  <c r="C1789" i="2"/>
  <c r="O1788" i="2"/>
  <c r="N1788" i="2"/>
  <c r="J1788" i="2"/>
  <c r="H1788" i="2"/>
  <c r="G1788" i="2"/>
  <c r="C1788" i="2"/>
  <c r="O1787" i="2"/>
  <c r="N1787" i="2"/>
  <c r="J1787" i="2"/>
  <c r="H1787" i="2"/>
  <c r="G1787" i="2"/>
  <c r="C1787" i="2"/>
  <c r="O1786" i="2"/>
  <c r="N1786" i="2"/>
  <c r="J1786" i="2"/>
  <c r="H1786" i="2"/>
  <c r="G1786" i="2"/>
  <c r="C1786" i="2"/>
  <c r="O1785" i="2"/>
  <c r="J1785" i="2"/>
  <c r="H1785" i="2"/>
  <c r="G1785" i="2"/>
  <c r="C1785" i="2"/>
  <c r="O1784" i="2"/>
  <c r="J1784" i="2"/>
  <c r="H1784" i="2"/>
  <c r="G1784" i="2"/>
  <c r="C1784" i="2"/>
  <c r="O1783" i="2"/>
  <c r="J1783" i="2"/>
  <c r="H1783" i="2"/>
  <c r="G1783" i="2"/>
  <c r="C1783" i="2"/>
  <c r="O1782" i="2"/>
  <c r="J1782" i="2"/>
  <c r="H1782" i="2"/>
  <c r="G1782" i="2"/>
  <c r="C1782" i="2"/>
  <c r="O1781" i="2"/>
  <c r="J1781" i="2"/>
  <c r="H1781" i="2"/>
  <c r="G1781" i="2"/>
  <c r="C1781" i="2"/>
  <c r="O1780" i="2"/>
  <c r="J1780" i="2"/>
  <c r="H1780" i="2"/>
  <c r="G1780" i="2"/>
  <c r="C1780" i="2"/>
  <c r="O1779" i="2"/>
  <c r="J1779" i="2"/>
  <c r="H1779" i="2"/>
  <c r="G1779" i="2"/>
  <c r="C1779" i="2"/>
  <c r="O1778" i="2"/>
  <c r="J1778" i="2"/>
  <c r="H1778" i="2"/>
  <c r="G1778" i="2"/>
  <c r="C1778" i="2"/>
  <c r="O1777" i="2"/>
  <c r="J1777" i="2"/>
  <c r="H1777" i="2"/>
  <c r="G1777" i="2"/>
  <c r="C1777" i="2"/>
  <c r="O1776" i="2"/>
  <c r="J1776" i="2"/>
  <c r="H1776" i="2"/>
  <c r="G1776" i="2"/>
  <c r="C1776" i="2"/>
  <c r="O1775" i="2"/>
  <c r="J1775" i="2"/>
  <c r="H1775" i="2"/>
  <c r="G1775" i="2"/>
  <c r="C1775" i="2"/>
  <c r="O1774" i="2"/>
  <c r="J1774" i="2"/>
  <c r="H1774" i="2"/>
  <c r="G1774" i="2"/>
  <c r="C1774" i="2"/>
  <c r="O1773" i="2"/>
  <c r="J1773" i="2"/>
  <c r="H1773" i="2"/>
  <c r="G1773" i="2"/>
  <c r="C1773" i="2"/>
  <c r="O1772" i="2"/>
  <c r="J1772" i="2"/>
  <c r="H1772" i="2"/>
  <c r="G1772" i="2"/>
  <c r="C1772" i="2"/>
  <c r="O1771" i="2"/>
  <c r="J1771" i="2"/>
  <c r="H1771" i="2"/>
  <c r="G1771" i="2"/>
  <c r="C1771" i="2"/>
  <c r="O1770" i="2"/>
  <c r="J1770" i="2"/>
  <c r="H1770" i="2"/>
  <c r="G1770" i="2"/>
  <c r="C1770" i="2"/>
  <c r="O1769" i="2"/>
  <c r="N1769" i="2"/>
  <c r="J1769" i="2"/>
  <c r="H1769" i="2"/>
  <c r="G1769" i="2"/>
  <c r="C1769" i="2"/>
  <c r="O1768" i="2"/>
  <c r="N1768" i="2"/>
  <c r="J1768" i="2"/>
  <c r="H1768" i="2"/>
  <c r="G1768" i="2"/>
  <c r="C1768" i="2"/>
  <c r="O1767" i="2"/>
  <c r="J1767" i="2"/>
  <c r="H1767" i="2"/>
  <c r="G1767" i="2"/>
  <c r="C1767" i="2"/>
  <c r="O1766" i="2"/>
  <c r="N1766" i="2"/>
  <c r="J1766" i="2"/>
  <c r="H1766" i="2"/>
  <c r="G1766" i="2"/>
  <c r="C1766" i="2"/>
  <c r="O1765" i="2"/>
  <c r="N1765" i="2"/>
  <c r="J1765" i="2"/>
  <c r="H1765" i="2"/>
  <c r="G1765" i="2"/>
  <c r="C1765" i="2"/>
  <c r="O1764" i="2"/>
  <c r="N1764" i="2"/>
  <c r="J1764" i="2"/>
  <c r="H1764" i="2"/>
  <c r="G1764" i="2"/>
  <c r="C1764" i="2"/>
  <c r="O1763" i="2"/>
  <c r="N1763" i="2"/>
  <c r="J1763" i="2"/>
  <c r="H1763" i="2"/>
  <c r="G1763" i="2"/>
  <c r="C1763" i="2"/>
  <c r="O1762" i="2"/>
  <c r="N1762" i="2"/>
  <c r="J1762" i="2"/>
  <c r="H1762" i="2"/>
  <c r="G1762" i="2"/>
  <c r="C1762" i="2"/>
  <c r="O1761" i="2"/>
  <c r="N1761" i="2"/>
  <c r="J1761" i="2"/>
  <c r="H1761" i="2"/>
  <c r="G1761" i="2"/>
  <c r="C1761" i="2"/>
  <c r="O1760" i="2"/>
  <c r="N1760" i="2"/>
  <c r="J1760" i="2"/>
  <c r="H1760" i="2"/>
  <c r="G1760" i="2"/>
  <c r="C1760" i="2"/>
  <c r="O1758" i="2"/>
  <c r="N1758" i="2"/>
  <c r="J1758" i="2"/>
  <c r="H1758" i="2"/>
  <c r="G1758" i="2"/>
  <c r="C1758" i="2"/>
  <c r="O1757" i="2"/>
  <c r="J1757" i="2"/>
  <c r="H1757" i="2"/>
  <c r="G1757" i="2"/>
  <c r="C1757" i="2"/>
  <c r="O1756" i="2"/>
  <c r="J1756" i="2"/>
  <c r="G1756" i="2"/>
  <c r="C1756" i="2"/>
  <c r="O1755" i="2"/>
  <c r="J1755" i="2"/>
  <c r="G1755" i="2"/>
  <c r="C1755" i="2"/>
  <c r="N1754" i="2"/>
  <c r="J1754" i="2"/>
  <c r="H1754" i="2"/>
  <c r="G1754" i="2"/>
  <c r="C1754" i="2"/>
  <c r="O1753" i="2"/>
  <c r="J1753" i="2"/>
  <c r="G1753" i="2"/>
  <c r="C1753" i="2"/>
  <c r="O1752" i="2"/>
  <c r="J1752" i="2"/>
  <c r="G1752" i="2"/>
  <c r="C1752" i="2"/>
  <c r="O1751" i="2"/>
  <c r="J1751" i="2"/>
  <c r="G1751" i="2"/>
  <c r="C1751" i="2"/>
  <c r="O1750" i="2"/>
  <c r="N1750" i="2"/>
  <c r="J1750" i="2"/>
  <c r="G1750" i="2"/>
  <c r="C1750" i="2"/>
  <c r="O1749" i="2"/>
  <c r="N1749" i="2"/>
  <c r="J1749" i="2"/>
  <c r="G1749" i="2"/>
  <c r="C1749" i="2"/>
  <c r="O1748" i="2"/>
  <c r="J1748" i="2"/>
  <c r="G1748" i="2"/>
  <c r="C1748" i="2"/>
  <c r="N1746" i="2"/>
  <c r="H1746" i="2"/>
  <c r="G1746" i="2"/>
  <c r="C1746" i="2"/>
  <c r="O1745" i="2"/>
  <c r="J1745" i="2"/>
  <c r="H1745" i="2"/>
  <c r="G1745" i="2"/>
  <c r="C1745" i="2"/>
  <c r="O1744" i="2"/>
  <c r="N1744" i="2"/>
  <c r="J1744" i="2"/>
  <c r="H1744" i="2"/>
  <c r="G1744" i="2"/>
  <c r="C1744" i="2"/>
  <c r="O1743" i="2"/>
  <c r="J1743" i="2"/>
  <c r="H1743" i="2"/>
  <c r="C1743" i="2"/>
  <c r="O1742" i="2"/>
  <c r="J1742" i="2"/>
  <c r="H1742" i="2"/>
  <c r="G1742" i="2"/>
  <c r="C1742" i="2"/>
  <c r="O1741" i="2"/>
  <c r="J1741" i="2"/>
  <c r="H1741" i="2"/>
  <c r="G1741" i="2"/>
  <c r="C1741" i="2"/>
  <c r="O1740" i="2"/>
  <c r="J1740" i="2"/>
  <c r="H1740" i="2"/>
  <c r="G1740" i="2"/>
  <c r="C1740" i="2"/>
  <c r="O1739" i="2"/>
  <c r="J1739" i="2"/>
  <c r="H1739" i="2"/>
  <c r="G1739" i="2"/>
  <c r="C1739" i="2"/>
  <c r="O1738" i="2"/>
  <c r="J1738" i="2"/>
  <c r="H1738" i="2"/>
  <c r="G1738" i="2"/>
  <c r="C1738" i="2"/>
  <c r="O1737" i="2"/>
  <c r="J1737" i="2"/>
  <c r="H1737" i="2"/>
  <c r="G1737" i="2"/>
  <c r="C1737" i="2"/>
  <c r="O1736" i="2"/>
  <c r="N1736" i="2"/>
  <c r="J1736" i="2"/>
  <c r="H1736" i="2"/>
  <c r="G1736" i="2"/>
  <c r="C1736" i="2"/>
  <c r="O1735" i="2"/>
  <c r="N1735" i="2"/>
  <c r="J1735" i="2"/>
  <c r="H1735" i="2"/>
  <c r="G1735" i="2"/>
  <c r="C1735" i="2"/>
  <c r="O1734" i="2"/>
  <c r="J1734" i="2"/>
  <c r="H1734" i="2"/>
  <c r="G1734" i="2"/>
  <c r="C1734" i="2"/>
  <c r="O1733" i="2"/>
  <c r="N1733" i="2"/>
  <c r="J1733" i="2"/>
  <c r="H1733" i="2"/>
  <c r="G1733" i="2"/>
  <c r="C1733" i="2"/>
  <c r="O1732" i="2"/>
  <c r="J1732" i="2"/>
  <c r="H1732" i="2"/>
  <c r="G1732" i="2"/>
  <c r="C1732" i="2"/>
  <c r="O1731" i="2"/>
  <c r="J1731" i="2"/>
  <c r="H1731" i="2"/>
  <c r="G1731" i="2"/>
  <c r="C1731" i="2"/>
  <c r="O1730" i="2"/>
  <c r="J1730" i="2"/>
  <c r="H1730" i="2"/>
  <c r="G1730" i="2"/>
  <c r="C1730" i="2"/>
  <c r="O1729" i="2"/>
  <c r="N1729" i="2"/>
  <c r="J1729" i="2"/>
  <c r="H1729" i="2"/>
  <c r="G1729" i="2"/>
  <c r="C1729" i="2"/>
  <c r="O1728" i="2"/>
  <c r="J1728" i="2"/>
  <c r="H1728" i="2"/>
  <c r="G1728" i="2"/>
  <c r="C1728" i="2"/>
  <c r="O1727" i="2"/>
  <c r="J1727" i="2"/>
  <c r="H1727" i="2"/>
  <c r="G1727" i="2"/>
  <c r="C1727" i="2"/>
  <c r="O1726" i="2"/>
  <c r="J1726" i="2"/>
  <c r="H1726" i="2"/>
  <c r="G1726" i="2"/>
  <c r="C1726" i="2"/>
  <c r="O1725" i="2"/>
  <c r="J1725" i="2"/>
  <c r="H1725" i="2"/>
  <c r="G1725" i="2"/>
  <c r="C1725" i="2"/>
  <c r="O1724" i="2"/>
  <c r="J1724" i="2"/>
  <c r="H1724" i="2"/>
  <c r="G1724" i="2"/>
  <c r="C1724" i="2"/>
  <c r="O1723" i="2"/>
  <c r="J1723" i="2"/>
  <c r="H1723" i="2"/>
  <c r="G1723" i="2"/>
  <c r="C1723" i="2"/>
  <c r="O1722" i="2"/>
  <c r="N1722" i="2"/>
  <c r="J1722" i="2"/>
  <c r="H1722" i="2"/>
  <c r="G1722" i="2"/>
  <c r="C1722" i="2"/>
  <c r="O1721" i="2"/>
  <c r="J1721" i="2"/>
  <c r="H1721" i="2"/>
  <c r="G1721" i="2"/>
  <c r="C1721" i="2"/>
  <c r="O1720" i="2"/>
  <c r="J1720" i="2"/>
  <c r="H1720" i="2"/>
  <c r="G1720" i="2"/>
  <c r="C1720" i="2"/>
  <c r="O1719" i="2"/>
  <c r="J1719" i="2"/>
  <c r="H1719" i="2"/>
  <c r="G1719" i="2"/>
  <c r="C1719" i="2"/>
  <c r="O1718" i="2"/>
  <c r="J1718" i="2"/>
  <c r="H1718" i="2"/>
  <c r="G1718" i="2"/>
  <c r="C1718" i="2"/>
  <c r="O1717" i="2"/>
  <c r="N1717" i="2"/>
  <c r="J1717" i="2"/>
  <c r="H1717" i="2"/>
  <c r="G1717" i="2"/>
  <c r="C1717" i="2"/>
  <c r="O1716" i="2"/>
  <c r="N1716" i="2"/>
  <c r="J1716" i="2"/>
  <c r="H1716" i="2"/>
  <c r="G1716" i="2"/>
  <c r="C1716" i="2"/>
  <c r="O1715" i="2"/>
  <c r="J1715" i="2"/>
  <c r="H1715" i="2"/>
  <c r="G1715" i="2"/>
  <c r="C1715" i="2"/>
  <c r="O1714" i="2"/>
  <c r="J1714" i="2"/>
  <c r="H1714" i="2"/>
  <c r="G1714" i="2"/>
  <c r="C1714" i="2"/>
  <c r="O1713" i="2"/>
  <c r="N1713" i="2"/>
  <c r="J1713" i="2"/>
  <c r="H1713" i="2"/>
  <c r="G1713" i="2"/>
  <c r="C1713" i="2"/>
  <c r="O1712" i="2"/>
  <c r="J1712" i="2"/>
  <c r="H1712" i="2"/>
  <c r="G1712" i="2"/>
  <c r="C1712" i="2"/>
  <c r="O1711" i="2"/>
  <c r="J1711" i="2"/>
  <c r="H1711" i="2"/>
  <c r="G1711" i="2"/>
  <c r="C1711" i="2"/>
  <c r="O1710" i="2"/>
  <c r="J1710" i="2"/>
  <c r="H1710" i="2"/>
  <c r="G1710" i="2"/>
  <c r="C1710" i="2"/>
  <c r="O1709" i="2"/>
  <c r="J1709" i="2"/>
  <c r="H1709" i="2"/>
  <c r="G1709" i="2"/>
  <c r="C1709" i="2"/>
  <c r="O1708" i="2"/>
  <c r="N1708" i="2"/>
  <c r="J1708" i="2"/>
  <c r="H1708" i="2"/>
  <c r="G1708" i="2"/>
  <c r="C1708" i="2"/>
  <c r="O1707" i="2"/>
  <c r="J1707" i="2"/>
  <c r="H1707" i="2"/>
  <c r="G1707" i="2"/>
  <c r="C1707" i="2"/>
  <c r="O1706" i="2"/>
  <c r="J1706" i="2"/>
  <c r="H1706" i="2"/>
  <c r="G1706" i="2"/>
  <c r="C1706" i="2"/>
  <c r="O1705" i="2"/>
  <c r="J1705" i="2"/>
  <c r="H1705" i="2"/>
  <c r="G1705" i="2"/>
  <c r="C1705" i="2"/>
  <c r="O1704" i="2"/>
  <c r="J1704" i="2"/>
  <c r="H1704" i="2"/>
  <c r="G1704" i="2"/>
  <c r="C1704" i="2"/>
  <c r="O1703" i="2"/>
  <c r="J1703" i="2"/>
  <c r="H1703" i="2"/>
  <c r="G1703" i="2"/>
  <c r="C1703" i="2"/>
  <c r="O1702" i="2"/>
  <c r="N1702" i="2"/>
  <c r="J1702" i="2"/>
  <c r="H1702" i="2"/>
  <c r="G1702" i="2"/>
  <c r="C1702" i="2"/>
  <c r="O1701" i="2"/>
  <c r="J1701" i="2"/>
  <c r="H1701" i="2"/>
  <c r="G1701" i="2"/>
  <c r="C1701" i="2"/>
  <c r="O1700" i="2"/>
  <c r="J1700" i="2"/>
  <c r="H1700" i="2"/>
  <c r="G1700" i="2"/>
  <c r="C1700" i="2"/>
  <c r="O1699" i="2"/>
  <c r="J1699" i="2"/>
  <c r="H1699" i="2"/>
  <c r="G1699" i="2"/>
  <c r="C1699" i="2"/>
  <c r="O1698" i="2"/>
  <c r="J1698" i="2"/>
  <c r="H1698" i="2"/>
  <c r="G1698" i="2"/>
  <c r="C1698" i="2"/>
  <c r="O1697" i="2"/>
  <c r="N1697" i="2"/>
  <c r="J1697" i="2"/>
  <c r="H1697" i="2"/>
  <c r="G1697" i="2"/>
  <c r="C1697" i="2"/>
  <c r="O1696" i="2"/>
  <c r="J1696" i="2"/>
  <c r="H1696" i="2"/>
  <c r="G1696" i="2"/>
  <c r="C1696" i="2"/>
  <c r="O1695" i="2"/>
  <c r="N1695" i="2"/>
  <c r="J1695" i="2"/>
  <c r="H1695" i="2"/>
  <c r="G1695" i="2"/>
  <c r="C1695" i="2"/>
  <c r="O1694" i="2"/>
  <c r="J1694" i="2"/>
  <c r="H1694" i="2"/>
  <c r="G1694" i="2"/>
  <c r="C1694" i="2"/>
  <c r="O1693" i="2"/>
  <c r="J1693" i="2"/>
  <c r="H1693" i="2"/>
  <c r="G1693" i="2"/>
  <c r="C1693" i="2"/>
  <c r="O1692" i="2"/>
  <c r="N1692" i="2"/>
  <c r="J1692" i="2"/>
  <c r="H1692" i="2"/>
  <c r="G1692" i="2"/>
  <c r="C1692" i="2"/>
  <c r="O1691" i="2"/>
  <c r="J1691" i="2"/>
  <c r="H1691" i="2"/>
  <c r="G1691" i="2"/>
  <c r="C1691" i="2"/>
  <c r="O1690" i="2"/>
  <c r="N1690" i="2"/>
  <c r="J1690" i="2"/>
  <c r="H1690" i="2"/>
  <c r="G1690" i="2"/>
  <c r="C1690" i="2"/>
  <c r="O1689" i="2"/>
  <c r="J1689" i="2"/>
  <c r="H1689" i="2"/>
  <c r="G1689" i="2"/>
  <c r="C1689" i="2"/>
  <c r="O1688" i="2"/>
  <c r="N1688" i="2"/>
  <c r="J1688" i="2"/>
  <c r="H1688" i="2"/>
  <c r="G1688" i="2"/>
  <c r="C1688" i="2"/>
  <c r="O1687" i="2"/>
  <c r="J1687" i="2"/>
  <c r="H1687" i="2"/>
  <c r="G1687" i="2"/>
  <c r="C1687" i="2"/>
  <c r="O1686" i="2"/>
  <c r="J1686" i="2"/>
  <c r="H1686" i="2"/>
  <c r="G1686" i="2"/>
  <c r="C1686" i="2"/>
  <c r="O1685" i="2"/>
  <c r="J1685" i="2"/>
  <c r="H1685" i="2"/>
  <c r="G1685" i="2"/>
  <c r="C1685" i="2"/>
  <c r="O1684" i="2"/>
  <c r="N1684" i="2"/>
  <c r="J1684" i="2"/>
  <c r="H1684" i="2"/>
  <c r="G1684" i="2"/>
  <c r="C1684" i="2"/>
  <c r="O1683" i="2"/>
  <c r="N1683" i="2"/>
  <c r="J1683" i="2"/>
  <c r="H1683" i="2"/>
  <c r="G1683" i="2"/>
  <c r="C1683" i="2"/>
  <c r="O1682" i="2"/>
  <c r="N1682" i="2"/>
  <c r="J1682" i="2"/>
  <c r="H1682" i="2"/>
  <c r="G1682" i="2"/>
  <c r="C1682" i="2"/>
  <c r="O1681" i="2"/>
  <c r="J1681" i="2"/>
  <c r="H1681" i="2"/>
  <c r="G1681" i="2"/>
  <c r="C1681" i="2"/>
  <c r="O1680" i="2"/>
  <c r="J1680" i="2"/>
  <c r="H1680" i="2"/>
  <c r="G1680" i="2"/>
  <c r="C1680" i="2"/>
  <c r="O1679" i="2"/>
  <c r="N1679" i="2"/>
  <c r="J1679" i="2"/>
  <c r="H1679" i="2"/>
  <c r="G1679" i="2"/>
  <c r="C1679" i="2"/>
  <c r="O1678" i="2"/>
  <c r="N1678" i="2"/>
  <c r="J1678" i="2"/>
  <c r="H1678" i="2"/>
  <c r="G1678" i="2"/>
  <c r="C1678" i="2"/>
  <c r="O1677" i="2"/>
  <c r="N1677" i="2"/>
  <c r="J1677" i="2"/>
  <c r="H1677" i="2"/>
  <c r="G1677" i="2"/>
  <c r="C1677" i="2"/>
  <c r="O1676" i="2"/>
  <c r="N1676" i="2"/>
  <c r="J1676" i="2"/>
  <c r="H1676" i="2"/>
  <c r="G1676" i="2"/>
  <c r="C1676" i="2"/>
  <c r="O1675" i="2"/>
  <c r="J1675" i="2"/>
  <c r="H1675" i="2"/>
  <c r="G1675" i="2"/>
  <c r="C1675" i="2"/>
  <c r="O1674" i="2"/>
  <c r="J1674" i="2"/>
  <c r="H1674" i="2"/>
  <c r="G1674" i="2"/>
  <c r="C1674" i="2"/>
  <c r="O1673" i="2"/>
  <c r="J1673" i="2"/>
  <c r="H1673" i="2"/>
  <c r="G1673" i="2"/>
  <c r="C1673" i="2"/>
  <c r="O1672" i="2"/>
  <c r="J1672" i="2"/>
  <c r="H1672" i="2"/>
  <c r="G1672" i="2"/>
  <c r="C1672" i="2"/>
  <c r="O1671" i="2"/>
  <c r="J1671" i="2"/>
  <c r="H1671" i="2"/>
  <c r="G1671" i="2"/>
  <c r="C1671" i="2"/>
  <c r="O1670" i="2"/>
  <c r="N1670" i="2"/>
  <c r="J1670" i="2"/>
  <c r="H1670" i="2"/>
  <c r="G1670" i="2"/>
  <c r="C1670" i="2"/>
  <c r="O1669" i="2"/>
  <c r="N1669" i="2"/>
  <c r="J1669" i="2"/>
  <c r="H1669" i="2"/>
  <c r="G1669" i="2"/>
  <c r="C1669" i="2"/>
  <c r="O1668" i="2"/>
  <c r="J1668" i="2"/>
  <c r="H1668" i="2"/>
  <c r="G1668" i="2"/>
  <c r="C1668" i="2"/>
  <c r="O1667" i="2"/>
  <c r="N1667" i="2"/>
  <c r="J1667" i="2"/>
  <c r="H1667" i="2"/>
  <c r="G1667" i="2"/>
  <c r="C1667" i="2"/>
  <c r="O1666" i="2"/>
  <c r="N1666" i="2"/>
  <c r="J1666" i="2"/>
  <c r="H1666" i="2"/>
  <c r="G1666" i="2"/>
  <c r="C1666" i="2"/>
  <c r="O1665" i="2"/>
  <c r="J1665" i="2"/>
  <c r="H1665" i="2"/>
  <c r="G1665" i="2"/>
  <c r="C1665" i="2"/>
  <c r="O1664" i="2"/>
  <c r="J1664" i="2"/>
  <c r="H1664" i="2"/>
  <c r="G1664" i="2"/>
  <c r="C1664" i="2"/>
  <c r="O1663" i="2"/>
  <c r="J1663" i="2"/>
  <c r="H1663" i="2"/>
  <c r="G1663" i="2"/>
  <c r="C1663" i="2"/>
  <c r="O1662" i="2"/>
  <c r="J1662" i="2"/>
  <c r="H1662" i="2"/>
  <c r="G1662" i="2"/>
  <c r="C1662" i="2"/>
  <c r="O1661" i="2"/>
  <c r="N1661" i="2"/>
  <c r="J1661" i="2"/>
  <c r="H1661" i="2"/>
  <c r="G1661" i="2"/>
  <c r="C1661" i="2"/>
  <c r="O1660" i="2"/>
  <c r="J1660" i="2"/>
  <c r="H1660" i="2"/>
  <c r="G1660" i="2"/>
  <c r="C1660" i="2"/>
  <c r="O1659" i="2"/>
  <c r="N1659" i="2"/>
  <c r="J1659" i="2"/>
  <c r="H1659" i="2"/>
  <c r="G1659" i="2"/>
  <c r="C1659" i="2"/>
  <c r="O1658" i="2"/>
  <c r="N1658" i="2"/>
  <c r="J1658" i="2"/>
  <c r="H1658" i="2"/>
  <c r="G1658" i="2"/>
  <c r="C1658" i="2"/>
  <c r="O1657" i="2"/>
  <c r="J1657" i="2"/>
  <c r="H1657" i="2"/>
  <c r="G1657" i="2"/>
  <c r="C1657" i="2"/>
  <c r="O1656" i="2"/>
  <c r="N1656" i="2"/>
  <c r="J1656" i="2"/>
  <c r="H1656" i="2"/>
  <c r="G1656" i="2"/>
  <c r="C1656" i="2"/>
  <c r="O1655" i="2"/>
  <c r="N1655" i="2"/>
  <c r="J1655" i="2"/>
  <c r="H1655" i="2"/>
  <c r="G1655" i="2"/>
  <c r="C1655" i="2"/>
  <c r="O1654" i="2"/>
  <c r="J1654" i="2"/>
  <c r="H1654" i="2"/>
  <c r="G1654" i="2"/>
  <c r="C1654" i="2"/>
  <c r="O1653" i="2"/>
  <c r="N1653" i="2"/>
  <c r="J1653" i="2"/>
  <c r="H1653" i="2"/>
  <c r="G1653" i="2"/>
  <c r="C1653" i="2"/>
  <c r="O1652" i="2"/>
  <c r="N1652" i="2"/>
  <c r="J1652" i="2"/>
  <c r="H1652" i="2"/>
  <c r="G1652" i="2"/>
  <c r="C1652" i="2"/>
  <c r="O1651" i="2"/>
  <c r="N1651" i="2"/>
  <c r="J1651" i="2"/>
  <c r="H1651" i="2"/>
  <c r="G1651" i="2"/>
  <c r="C1651" i="2"/>
  <c r="O1650" i="2"/>
  <c r="N1650" i="2"/>
  <c r="J1650" i="2"/>
  <c r="H1650" i="2"/>
  <c r="G1650" i="2"/>
  <c r="C1650" i="2"/>
  <c r="O1649" i="2"/>
  <c r="J1649" i="2"/>
  <c r="H1649" i="2"/>
  <c r="G1649" i="2"/>
  <c r="C1649" i="2"/>
  <c r="O1648" i="2"/>
  <c r="J1648" i="2"/>
  <c r="H1648" i="2"/>
  <c r="G1648" i="2"/>
  <c r="C1648" i="2"/>
  <c r="O1647" i="2"/>
  <c r="J1647" i="2"/>
  <c r="H1647" i="2"/>
  <c r="G1647" i="2"/>
  <c r="C1647" i="2"/>
  <c r="O1646" i="2"/>
  <c r="N1646" i="2"/>
  <c r="J1646" i="2"/>
  <c r="H1646" i="2"/>
  <c r="G1646" i="2"/>
  <c r="C1646" i="2"/>
  <c r="O1645" i="2"/>
  <c r="N1645" i="2"/>
  <c r="J1645" i="2"/>
  <c r="H1645" i="2"/>
  <c r="G1645" i="2"/>
  <c r="C1645" i="2"/>
  <c r="O1644" i="2"/>
  <c r="J1644" i="2"/>
  <c r="H1644" i="2"/>
  <c r="G1644" i="2"/>
  <c r="C1644" i="2"/>
  <c r="O1643" i="2"/>
  <c r="J1643" i="2"/>
  <c r="H1643" i="2"/>
  <c r="G1643" i="2"/>
  <c r="C1643" i="2"/>
  <c r="O1642" i="2"/>
  <c r="J1642" i="2"/>
  <c r="H1642" i="2"/>
  <c r="G1642" i="2"/>
  <c r="C1642" i="2"/>
  <c r="O1641" i="2"/>
  <c r="N1641" i="2"/>
  <c r="J1641" i="2"/>
  <c r="H1641" i="2"/>
  <c r="G1641" i="2"/>
  <c r="C1641" i="2"/>
  <c r="O1640" i="2"/>
  <c r="J1640" i="2"/>
  <c r="H1640" i="2"/>
  <c r="G1640" i="2"/>
  <c r="C1640" i="2"/>
  <c r="O1639" i="2"/>
  <c r="J1639" i="2"/>
  <c r="H1639" i="2"/>
  <c r="G1639" i="2"/>
  <c r="C1639" i="2"/>
  <c r="O1638" i="2"/>
  <c r="N1638" i="2"/>
  <c r="J1638" i="2"/>
  <c r="H1638" i="2"/>
  <c r="G1638" i="2"/>
  <c r="C1638" i="2"/>
  <c r="O1637" i="2"/>
  <c r="J1637" i="2"/>
  <c r="H1637" i="2"/>
  <c r="G1637" i="2"/>
  <c r="C1637" i="2"/>
  <c r="O1636" i="2"/>
  <c r="N1636" i="2"/>
  <c r="J1636" i="2"/>
  <c r="H1636" i="2"/>
  <c r="G1636" i="2"/>
  <c r="C1636" i="2"/>
  <c r="O1635" i="2"/>
  <c r="N1635" i="2"/>
  <c r="J1635" i="2"/>
  <c r="H1635" i="2"/>
  <c r="G1635" i="2"/>
  <c r="C1635" i="2"/>
  <c r="O1634" i="2"/>
  <c r="J1634" i="2"/>
  <c r="H1634" i="2"/>
  <c r="G1634" i="2"/>
  <c r="C1634" i="2"/>
  <c r="O1633" i="2"/>
  <c r="N1633" i="2"/>
  <c r="J1633" i="2"/>
  <c r="H1633" i="2"/>
  <c r="G1633" i="2"/>
  <c r="C1633" i="2"/>
  <c r="O1632" i="2"/>
  <c r="J1632" i="2"/>
  <c r="H1632" i="2"/>
  <c r="G1632" i="2"/>
  <c r="C1632" i="2"/>
  <c r="O1631" i="2"/>
  <c r="N1631" i="2"/>
  <c r="J1631" i="2"/>
  <c r="H1631" i="2"/>
  <c r="G1631" i="2"/>
  <c r="C1631" i="2"/>
  <c r="O1630" i="2"/>
  <c r="N1630" i="2"/>
  <c r="J1630" i="2"/>
  <c r="H1630" i="2"/>
  <c r="G1630" i="2"/>
  <c r="C1630" i="2"/>
  <c r="O1629" i="2"/>
  <c r="N1629" i="2"/>
  <c r="J1629" i="2"/>
  <c r="H1629" i="2"/>
  <c r="G1629" i="2"/>
  <c r="C1629" i="2"/>
  <c r="O1628" i="2"/>
  <c r="J1628" i="2"/>
  <c r="H1628" i="2"/>
  <c r="G1628" i="2"/>
  <c r="C1628" i="2"/>
  <c r="O1627" i="2"/>
  <c r="J1627" i="2"/>
  <c r="H1627" i="2"/>
  <c r="G1627" i="2"/>
  <c r="C1627" i="2"/>
  <c r="O1626" i="2"/>
  <c r="N1626" i="2"/>
  <c r="J1626" i="2"/>
  <c r="H1626" i="2"/>
  <c r="G1626" i="2"/>
  <c r="C1626" i="2"/>
  <c r="O1625" i="2"/>
  <c r="J1625" i="2"/>
  <c r="H1625" i="2"/>
  <c r="G1625" i="2"/>
  <c r="C1625" i="2"/>
  <c r="O1624" i="2"/>
  <c r="N1624" i="2"/>
  <c r="J1624" i="2"/>
  <c r="H1624" i="2"/>
  <c r="G1624" i="2"/>
  <c r="C1624" i="2"/>
  <c r="O1623" i="2"/>
  <c r="J1623" i="2"/>
  <c r="H1623" i="2"/>
  <c r="G1623" i="2"/>
  <c r="C1623" i="2"/>
  <c r="O1622" i="2"/>
  <c r="N1622" i="2"/>
  <c r="J1622" i="2"/>
  <c r="H1622" i="2"/>
  <c r="G1622" i="2"/>
  <c r="C1622" i="2"/>
  <c r="O1621" i="2"/>
  <c r="N1621" i="2"/>
  <c r="J1621" i="2"/>
  <c r="H1621" i="2"/>
  <c r="G1621" i="2"/>
  <c r="C1621" i="2"/>
  <c r="O1620" i="2"/>
  <c r="J1620" i="2"/>
  <c r="H1620" i="2"/>
  <c r="G1620" i="2"/>
  <c r="C1620" i="2"/>
  <c r="O1619" i="2"/>
  <c r="N1619" i="2"/>
  <c r="J1619" i="2"/>
  <c r="H1619" i="2"/>
  <c r="G1619" i="2"/>
  <c r="C1619" i="2"/>
  <c r="O1618" i="2"/>
  <c r="N1618" i="2"/>
  <c r="J1618" i="2"/>
  <c r="H1618" i="2"/>
  <c r="G1618" i="2"/>
  <c r="C1618" i="2"/>
  <c r="O1617" i="2"/>
  <c r="N1617" i="2"/>
  <c r="J1617" i="2"/>
  <c r="H1617" i="2"/>
  <c r="G1617" i="2"/>
  <c r="C1617" i="2"/>
  <c r="O1616" i="2"/>
  <c r="N1616" i="2"/>
  <c r="J1616" i="2"/>
  <c r="H1616" i="2"/>
  <c r="G1616" i="2"/>
  <c r="C1616" i="2"/>
  <c r="O1615" i="2"/>
  <c r="N1615" i="2"/>
  <c r="J1615" i="2"/>
  <c r="H1615" i="2"/>
  <c r="G1615" i="2"/>
  <c r="C1615" i="2"/>
  <c r="O1614" i="2"/>
  <c r="J1614" i="2"/>
  <c r="H1614" i="2"/>
  <c r="G1614" i="2"/>
  <c r="C1614" i="2"/>
  <c r="O1613" i="2"/>
  <c r="N1613" i="2"/>
  <c r="J1613" i="2"/>
  <c r="H1613" i="2"/>
  <c r="G1613" i="2"/>
  <c r="C1613" i="2"/>
  <c r="O1612" i="2"/>
  <c r="N1612" i="2"/>
  <c r="J1612" i="2"/>
  <c r="H1612" i="2"/>
  <c r="G1612" i="2"/>
  <c r="C1612" i="2"/>
  <c r="O1611" i="2"/>
  <c r="J1611" i="2"/>
  <c r="H1611" i="2"/>
  <c r="G1611" i="2"/>
  <c r="C1611" i="2"/>
  <c r="O1610" i="2"/>
  <c r="N1610" i="2"/>
  <c r="J1610" i="2"/>
  <c r="H1610" i="2"/>
  <c r="G1610" i="2"/>
  <c r="C1610" i="2"/>
  <c r="O1609" i="2"/>
  <c r="N1609" i="2"/>
  <c r="J1609" i="2"/>
  <c r="H1609" i="2"/>
  <c r="G1609" i="2"/>
  <c r="C1609" i="2"/>
  <c r="O1608" i="2"/>
  <c r="N1608" i="2"/>
  <c r="J1608" i="2"/>
  <c r="H1608" i="2"/>
  <c r="G1608" i="2"/>
  <c r="C1608" i="2"/>
  <c r="O1607" i="2"/>
  <c r="N1607" i="2"/>
  <c r="J1607" i="2"/>
  <c r="H1607" i="2"/>
  <c r="G1607" i="2"/>
  <c r="C1607" i="2"/>
  <c r="O1606" i="2"/>
  <c r="N1606" i="2"/>
  <c r="J1606" i="2"/>
  <c r="H1606" i="2"/>
  <c r="G1606" i="2"/>
  <c r="C1606" i="2"/>
  <c r="O1605" i="2"/>
  <c r="N1605" i="2"/>
  <c r="J1605" i="2"/>
  <c r="H1605" i="2"/>
  <c r="G1605" i="2"/>
  <c r="C1605" i="2"/>
  <c r="O1604" i="2"/>
  <c r="N1604" i="2"/>
  <c r="J1604" i="2"/>
  <c r="H1604" i="2"/>
  <c r="G1604" i="2"/>
  <c r="C1604" i="2"/>
  <c r="O1603" i="2"/>
  <c r="N1603" i="2"/>
  <c r="J1603" i="2"/>
  <c r="H1603" i="2"/>
  <c r="G1603" i="2"/>
  <c r="C1603" i="2"/>
  <c r="O1601" i="2"/>
  <c r="N1601" i="2"/>
  <c r="J1601" i="2"/>
  <c r="H1601" i="2"/>
  <c r="G1601" i="2"/>
  <c r="C1601" i="2"/>
  <c r="O1600" i="2"/>
  <c r="N1600" i="2"/>
  <c r="J1600" i="2"/>
  <c r="H1600" i="2"/>
  <c r="G1600" i="2"/>
  <c r="C1600" i="2"/>
  <c r="O1599" i="2"/>
  <c r="N1599" i="2"/>
  <c r="J1599" i="2"/>
  <c r="H1599" i="2"/>
  <c r="G1599" i="2"/>
  <c r="C1599" i="2"/>
  <c r="O1598" i="2"/>
  <c r="N1598" i="2"/>
  <c r="J1598" i="2"/>
  <c r="H1598" i="2"/>
  <c r="G1598" i="2"/>
  <c r="C1598" i="2"/>
  <c r="O1597" i="2"/>
  <c r="J1597" i="2"/>
  <c r="H1597" i="2"/>
  <c r="G1597" i="2"/>
  <c r="C1597" i="2"/>
  <c r="O1596" i="2"/>
  <c r="N1596" i="2"/>
  <c r="J1596" i="2"/>
  <c r="H1596" i="2"/>
  <c r="G1596" i="2"/>
  <c r="C1596" i="2"/>
  <c r="O1595" i="2"/>
  <c r="N1595" i="2"/>
  <c r="J1595" i="2"/>
  <c r="H1595" i="2"/>
  <c r="G1595" i="2"/>
  <c r="C1595" i="2"/>
  <c r="O1594" i="2"/>
  <c r="N1594" i="2"/>
  <c r="J1594" i="2"/>
  <c r="H1594" i="2"/>
  <c r="G1594" i="2"/>
  <c r="C1594" i="2"/>
  <c r="O1593" i="2"/>
  <c r="N1593" i="2"/>
  <c r="J1593" i="2"/>
  <c r="H1593" i="2"/>
  <c r="G1593" i="2"/>
  <c r="C1593" i="2"/>
  <c r="O1592" i="2"/>
  <c r="J1592" i="2"/>
  <c r="H1592" i="2"/>
  <c r="G1592" i="2"/>
  <c r="C1592" i="2"/>
  <c r="O1591" i="2"/>
  <c r="N1591" i="2"/>
  <c r="J1591" i="2"/>
  <c r="H1591" i="2"/>
  <c r="G1591" i="2"/>
  <c r="C1591" i="2"/>
  <c r="O1590" i="2"/>
  <c r="J1590" i="2"/>
  <c r="H1590" i="2"/>
  <c r="G1590" i="2"/>
  <c r="C1590" i="2"/>
  <c r="O1589" i="2"/>
  <c r="J1589" i="2"/>
  <c r="H1589" i="2"/>
  <c r="G1589" i="2"/>
  <c r="C1589" i="2"/>
  <c r="O1588" i="2"/>
  <c r="N1588" i="2"/>
  <c r="J1588" i="2"/>
  <c r="H1588" i="2"/>
  <c r="G1588" i="2"/>
  <c r="C1588" i="2"/>
  <c r="O1587" i="2"/>
  <c r="J1587" i="2"/>
  <c r="H1587" i="2"/>
  <c r="G1587" i="2"/>
  <c r="C1587" i="2"/>
  <c r="O1586" i="2"/>
  <c r="J1586" i="2"/>
  <c r="H1586" i="2"/>
  <c r="G1586" i="2"/>
  <c r="C1586" i="2"/>
  <c r="O1585" i="2"/>
  <c r="J1585" i="2"/>
  <c r="H1585" i="2"/>
  <c r="G1585" i="2"/>
  <c r="C1585" i="2"/>
  <c r="O1584" i="2"/>
  <c r="N1584" i="2"/>
  <c r="J1584" i="2"/>
  <c r="H1584" i="2"/>
  <c r="G1584" i="2"/>
  <c r="C1584" i="2"/>
  <c r="O1583" i="2"/>
  <c r="N1583" i="2"/>
  <c r="J1583" i="2"/>
  <c r="H1583" i="2"/>
  <c r="G1583" i="2"/>
  <c r="C1583" i="2"/>
  <c r="O1582" i="2"/>
  <c r="N1582" i="2"/>
  <c r="J1582" i="2"/>
  <c r="H1582" i="2"/>
  <c r="G1582" i="2"/>
  <c r="C1582" i="2"/>
  <c r="O1581" i="2"/>
  <c r="J1581" i="2"/>
  <c r="H1581" i="2"/>
  <c r="G1581" i="2"/>
  <c r="C1581" i="2"/>
  <c r="O1580" i="2"/>
  <c r="N1580" i="2"/>
  <c r="J1580" i="2"/>
  <c r="H1580" i="2"/>
  <c r="G1580" i="2"/>
  <c r="C1580" i="2"/>
  <c r="O1579" i="2"/>
  <c r="N1579" i="2"/>
  <c r="J1579" i="2"/>
  <c r="H1579" i="2"/>
  <c r="G1579" i="2"/>
  <c r="C1579" i="2"/>
  <c r="O1578" i="2"/>
  <c r="N1578" i="2"/>
  <c r="J1578" i="2"/>
  <c r="H1578" i="2"/>
  <c r="G1578" i="2"/>
  <c r="C1578" i="2"/>
  <c r="O1577" i="2"/>
  <c r="N1577" i="2"/>
  <c r="J1577" i="2"/>
  <c r="H1577" i="2"/>
  <c r="G1577" i="2"/>
  <c r="C1577" i="2"/>
  <c r="O1576" i="2"/>
  <c r="N1576" i="2"/>
  <c r="J1576" i="2"/>
  <c r="H1576" i="2"/>
  <c r="G1576" i="2"/>
  <c r="C1576" i="2"/>
  <c r="O1575" i="2"/>
  <c r="J1575" i="2"/>
  <c r="H1575" i="2"/>
  <c r="G1575" i="2"/>
  <c r="C1575" i="2"/>
  <c r="O1574" i="2"/>
  <c r="N1574" i="2"/>
  <c r="J1574" i="2"/>
  <c r="H1574" i="2"/>
  <c r="G1574" i="2"/>
  <c r="C1574" i="2"/>
  <c r="O1573" i="2"/>
  <c r="N1573" i="2"/>
  <c r="J1573" i="2"/>
  <c r="H1573" i="2"/>
  <c r="G1573" i="2"/>
  <c r="C1573" i="2"/>
  <c r="O1572" i="2"/>
  <c r="N1572" i="2"/>
  <c r="J1572" i="2"/>
  <c r="H1572" i="2"/>
  <c r="G1572" i="2"/>
  <c r="C1572" i="2"/>
  <c r="O1571" i="2"/>
  <c r="N1571" i="2"/>
  <c r="J1571" i="2"/>
  <c r="H1571" i="2"/>
  <c r="G1571" i="2"/>
  <c r="C1571" i="2"/>
  <c r="O1570" i="2"/>
  <c r="N1570" i="2"/>
  <c r="J1570" i="2"/>
  <c r="H1570" i="2"/>
  <c r="G1570" i="2"/>
  <c r="C1570" i="2"/>
  <c r="O1569" i="2"/>
  <c r="J1569" i="2"/>
  <c r="H1569" i="2"/>
  <c r="G1569" i="2"/>
  <c r="C1569" i="2"/>
  <c r="O1568" i="2"/>
  <c r="N1568" i="2"/>
  <c r="J1568" i="2"/>
  <c r="H1568" i="2"/>
  <c r="G1568" i="2"/>
  <c r="C1568" i="2"/>
  <c r="O1567" i="2"/>
  <c r="J1567" i="2"/>
  <c r="H1567" i="2"/>
  <c r="G1567" i="2"/>
  <c r="C1567" i="2"/>
  <c r="O1566" i="2"/>
  <c r="J1566" i="2"/>
  <c r="H1566" i="2"/>
  <c r="G1566" i="2"/>
  <c r="C1566" i="2"/>
  <c r="O1565" i="2"/>
  <c r="N1565" i="2"/>
  <c r="J1565" i="2"/>
  <c r="H1565" i="2"/>
  <c r="G1565" i="2"/>
  <c r="C1565" i="2"/>
  <c r="O1564" i="2"/>
  <c r="N1564" i="2"/>
  <c r="J1564" i="2"/>
  <c r="H1564" i="2"/>
  <c r="G1564" i="2"/>
  <c r="C1564" i="2"/>
  <c r="O1563" i="2"/>
  <c r="J1563" i="2"/>
  <c r="H1563" i="2"/>
  <c r="G1563" i="2"/>
  <c r="C1563" i="2"/>
  <c r="O1562" i="2"/>
  <c r="N1562" i="2"/>
  <c r="J1562" i="2"/>
  <c r="H1562" i="2"/>
  <c r="G1562" i="2"/>
  <c r="C1562" i="2"/>
  <c r="O1561" i="2"/>
  <c r="N1561" i="2"/>
  <c r="J1561" i="2"/>
  <c r="H1561" i="2"/>
  <c r="G1561" i="2"/>
  <c r="C1561" i="2"/>
  <c r="O1560" i="2"/>
  <c r="J1560" i="2"/>
  <c r="H1560" i="2"/>
  <c r="G1560" i="2"/>
  <c r="C1560" i="2"/>
  <c r="O1559" i="2"/>
  <c r="N1559" i="2"/>
  <c r="J1559" i="2"/>
  <c r="H1559" i="2"/>
  <c r="G1559" i="2"/>
  <c r="C1559" i="2"/>
  <c r="O1558" i="2"/>
  <c r="N1558" i="2"/>
  <c r="J1558" i="2"/>
  <c r="H1558" i="2"/>
  <c r="G1558" i="2"/>
  <c r="C1558" i="2"/>
  <c r="O1557" i="2"/>
  <c r="N1557" i="2"/>
  <c r="J1557" i="2"/>
  <c r="H1557" i="2"/>
  <c r="G1557" i="2"/>
  <c r="C1557" i="2"/>
  <c r="O1556" i="2"/>
  <c r="N1556" i="2"/>
  <c r="J1556" i="2"/>
  <c r="H1556" i="2"/>
  <c r="G1556" i="2"/>
  <c r="C1556" i="2"/>
  <c r="O1555" i="2"/>
  <c r="N1555" i="2"/>
  <c r="J1555" i="2"/>
  <c r="H1555" i="2"/>
  <c r="G1555" i="2"/>
  <c r="C1555" i="2"/>
  <c r="O1554" i="2"/>
  <c r="N1554" i="2"/>
  <c r="J1554" i="2"/>
  <c r="H1554" i="2"/>
  <c r="G1554" i="2"/>
  <c r="C1554" i="2"/>
  <c r="O1553" i="2"/>
  <c r="N1553" i="2"/>
  <c r="J1553" i="2"/>
  <c r="H1553" i="2"/>
  <c r="G1553" i="2"/>
  <c r="C1553" i="2"/>
  <c r="O1552" i="2"/>
  <c r="N1552" i="2"/>
  <c r="J1552" i="2"/>
  <c r="H1552" i="2"/>
  <c r="G1552" i="2"/>
  <c r="C1552" i="2"/>
  <c r="O1551" i="2"/>
  <c r="N1551" i="2"/>
  <c r="J1551" i="2"/>
  <c r="H1551" i="2"/>
  <c r="G1551" i="2"/>
  <c r="C1551" i="2"/>
  <c r="O1550" i="2"/>
  <c r="N1550" i="2"/>
  <c r="J1550" i="2"/>
  <c r="H1550" i="2"/>
  <c r="G1550" i="2"/>
  <c r="C1550" i="2"/>
  <c r="O1549" i="2"/>
  <c r="N1549" i="2"/>
  <c r="J1549" i="2"/>
  <c r="H1549" i="2"/>
  <c r="G1549" i="2"/>
  <c r="C1549" i="2"/>
  <c r="O1548" i="2"/>
  <c r="J1548" i="2"/>
  <c r="H1548" i="2"/>
  <c r="G1548" i="2"/>
  <c r="C1548" i="2"/>
  <c r="O1547" i="2"/>
  <c r="N1547" i="2"/>
  <c r="J1547" i="2"/>
  <c r="H1547" i="2"/>
  <c r="G1547" i="2"/>
  <c r="C1547" i="2"/>
  <c r="O1546" i="2"/>
  <c r="N1546" i="2"/>
  <c r="J1546" i="2"/>
  <c r="H1546" i="2"/>
  <c r="G1546" i="2"/>
  <c r="C1546" i="2"/>
  <c r="O1545" i="2"/>
  <c r="J1545" i="2"/>
  <c r="H1545" i="2"/>
  <c r="G1545" i="2"/>
  <c r="C1545" i="2"/>
  <c r="O1544" i="2"/>
  <c r="N1544" i="2"/>
  <c r="J1544" i="2"/>
  <c r="H1544" i="2"/>
  <c r="G1544" i="2"/>
  <c r="C1544" i="2"/>
  <c r="O1543" i="2"/>
  <c r="N1543" i="2"/>
  <c r="J1543" i="2"/>
  <c r="H1543" i="2"/>
  <c r="G1543" i="2"/>
  <c r="C1543" i="2"/>
  <c r="O1542" i="2"/>
  <c r="N1542" i="2"/>
  <c r="J1542" i="2"/>
  <c r="H1542" i="2"/>
  <c r="G1542" i="2"/>
  <c r="C1542" i="2"/>
  <c r="O1541" i="2"/>
  <c r="N1541" i="2"/>
  <c r="J1541" i="2"/>
  <c r="H1541" i="2"/>
  <c r="G1541" i="2"/>
  <c r="C1541" i="2"/>
  <c r="O1540" i="2"/>
  <c r="N1540" i="2"/>
  <c r="J1540" i="2"/>
  <c r="H1540" i="2"/>
  <c r="G1540" i="2"/>
  <c r="C1540" i="2"/>
  <c r="O1539" i="2"/>
  <c r="J1539" i="2"/>
  <c r="H1539" i="2"/>
  <c r="G1539" i="2"/>
  <c r="C1539" i="2"/>
  <c r="O1538" i="2"/>
  <c r="N1538" i="2"/>
  <c r="J1538" i="2"/>
  <c r="H1538" i="2"/>
  <c r="G1538" i="2"/>
  <c r="C1538" i="2"/>
  <c r="O1537" i="2"/>
  <c r="N1537" i="2"/>
  <c r="J1537" i="2"/>
  <c r="H1537" i="2"/>
  <c r="G1537" i="2"/>
  <c r="C1537" i="2"/>
  <c r="O1536" i="2"/>
  <c r="N1536" i="2"/>
  <c r="J1536" i="2"/>
  <c r="H1536" i="2"/>
  <c r="G1536" i="2"/>
  <c r="C1536" i="2"/>
  <c r="O1535" i="2"/>
  <c r="N1535" i="2"/>
  <c r="J1535" i="2"/>
  <c r="H1535" i="2"/>
  <c r="G1535" i="2"/>
  <c r="C1535" i="2"/>
  <c r="O1534" i="2"/>
  <c r="N1534" i="2"/>
  <c r="J1534" i="2"/>
  <c r="H1534" i="2"/>
  <c r="G1534" i="2"/>
  <c r="C1534" i="2"/>
  <c r="O1533" i="2"/>
  <c r="N1533" i="2"/>
  <c r="J1533" i="2"/>
  <c r="H1533" i="2"/>
  <c r="G1533" i="2"/>
  <c r="C1533" i="2"/>
  <c r="O1532" i="2"/>
  <c r="J1532" i="2"/>
  <c r="H1532" i="2"/>
  <c r="G1532" i="2"/>
  <c r="C1532" i="2"/>
  <c r="O1531" i="2"/>
  <c r="N1531" i="2"/>
  <c r="J1531" i="2"/>
  <c r="H1531" i="2"/>
  <c r="G1531" i="2"/>
  <c r="C1531" i="2"/>
  <c r="O1530" i="2"/>
  <c r="N1530" i="2"/>
  <c r="J1530" i="2"/>
  <c r="H1530" i="2"/>
  <c r="G1530" i="2"/>
  <c r="C1530" i="2"/>
  <c r="O1529" i="2"/>
  <c r="N1529" i="2"/>
  <c r="J1529" i="2"/>
  <c r="H1529" i="2"/>
  <c r="G1529" i="2"/>
  <c r="C1529" i="2"/>
  <c r="O1528" i="2"/>
  <c r="J1528" i="2"/>
  <c r="H1528" i="2"/>
  <c r="G1528" i="2"/>
  <c r="C1528" i="2"/>
  <c r="O1527" i="2"/>
  <c r="N1527" i="2"/>
  <c r="J1527" i="2"/>
  <c r="H1527" i="2"/>
  <c r="G1527" i="2"/>
  <c r="C1527" i="2"/>
  <c r="O1526" i="2"/>
  <c r="N1526" i="2"/>
  <c r="J1526" i="2"/>
  <c r="H1526" i="2"/>
  <c r="G1526" i="2"/>
  <c r="C1526" i="2"/>
  <c r="O1525" i="2"/>
  <c r="N1525" i="2"/>
  <c r="J1525" i="2"/>
  <c r="H1525" i="2"/>
  <c r="G1525" i="2"/>
  <c r="C1525" i="2"/>
  <c r="O1524" i="2"/>
  <c r="N1524" i="2"/>
  <c r="J1524" i="2"/>
  <c r="H1524" i="2"/>
  <c r="G1524" i="2"/>
  <c r="C1524" i="2"/>
  <c r="O1523" i="2"/>
  <c r="N1523" i="2"/>
  <c r="J1523" i="2"/>
  <c r="H1523" i="2"/>
  <c r="G1523" i="2"/>
  <c r="C1523" i="2"/>
  <c r="O1522" i="2"/>
  <c r="N1522" i="2"/>
  <c r="J1522" i="2"/>
  <c r="H1522" i="2"/>
  <c r="G1522" i="2"/>
  <c r="C1522" i="2"/>
  <c r="O1521" i="2"/>
  <c r="N1521" i="2"/>
  <c r="J1521" i="2"/>
  <c r="H1521" i="2"/>
  <c r="G1521" i="2"/>
  <c r="C1521" i="2"/>
  <c r="O1520" i="2"/>
  <c r="N1520" i="2"/>
  <c r="J1520" i="2"/>
  <c r="H1520" i="2"/>
  <c r="G1520" i="2"/>
  <c r="C1520" i="2"/>
  <c r="O1519" i="2"/>
  <c r="N1519" i="2"/>
  <c r="J1519" i="2"/>
  <c r="H1519" i="2"/>
  <c r="G1519" i="2"/>
  <c r="C1519" i="2"/>
  <c r="O1518" i="2"/>
  <c r="N1518" i="2"/>
  <c r="J1518" i="2"/>
  <c r="H1518" i="2"/>
  <c r="G1518" i="2"/>
  <c r="C1518" i="2"/>
  <c r="O1517" i="2"/>
  <c r="N1517" i="2"/>
  <c r="J1517" i="2"/>
  <c r="H1517" i="2"/>
  <c r="G1517" i="2"/>
  <c r="C1517" i="2"/>
  <c r="O1516" i="2"/>
  <c r="N1516" i="2"/>
  <c r="J1516" i="2"/>
  <c r="H1516" i="2"/>
  <c r="G1516" i="2"/>
  <c r="C1516" i="2"/>
  <c r="O1515" i="2"/>
  <c r="N1515" i="2"/>
  <c r="J1515" i="2"/>
  <c r="H1515" i="2"/>
  <c r="G1515" i="2"/>
  <c r="C1515" i="2"/>
  <c r="O1514" i="2"/>
  <c r="N1514" i="2"/>
  <c r="J1514" i="2"/>
  <c r="H1514" i="2"/>
  <c r="G1514" i="2"/>
  <c r="C1514" i="2"/>
  <c r="O1513" i="2"/>
  <c r="J1513" i="2"/>
  <c r="H1513" i="2"/>
  <c r="G1513" i="2"/>
  <c r="C1513" i="2"/>
  <c r="O1512" i="2"/>
  <c r="N1512" i="2"/>
  <c r="J1512" i="2"/>
  <c r="H1512" i="2"/>
  <c r="G1512" i="2"/>
  <c r="C1512" i="2"/>
  <c r="O1511" i="2"/>
  <c r="N1511" i="2"/>
  <c r="J1511" i="2"/>
  <c r="H1511" i="2"/>
  <c r="G1511" i="2"/>
  <c r="C1511" i="2"/>
  <c r="O1510" i="2"/>
  <c r="N1510" i="2"/>
  <c r="J1510" i="2"/>
  <c r="H1510" i="2"/>
  <c r="G1510" i="2"/>
  <c r="C1510" i="2"/>
  <c r="O1509" i="2"/>
  <c r="N1509" i="2"/>
  <c r="J1509" i="2"/>
  <c r="H1509" i="2"/>
  <c r="G1509" i="2"/>
  <c r="C1509" i="2"/>
  <c r="O1508" i="2"/>
  <c r="N1508" i="2"/>
  <c r="J1508" i="2"/>
  <c r="H1508" i="2"/>
  <c r="G1508" i="2"/>
  <c r="C1508" i="2"/>
  <c r="O1507" i="2"/>
  <c r="N1507" i="2"/>
  <c r="J1507" i="2"/>
  <c r="H1507" i="2"/>
  <c r="G1507" i="2"/>
  <c r="C1507" i="2"/>
  <c r="O1506" i="2"/>
  <c r="J1506" i="2"/>
  <c r="H1506" i="2"/>
  <c r="G1506" i="2"/>
  <c r="C1506" i="2"/>
  <c r="O1505" i="2"/>
  <c r="N1505" i="2"/>
  <c r="J1505" i="2"/>
  <c r="H1505" i="2"/>
  <c r="G1505" i="2"/>
  <c r="C1505" i="2"/>
  <c r="O1504" i="2"/>
  <c r="J1504" i="2"/>
  <c r="H1504" i="2"/>
  <c r="G1504" i="2"/>
  <c r="C1504" i="2"/>
  <c r="O1503" i="2"/>
  <c r="N1503" i="2"/>
  <c r="J1503" i="2"/>
  <c r="H1503" i="2"/>
  <c r="G1503" i="2"/>
  <c r="C1503" i="2"/>
  <c r="O1502" i="2"/>
  <c r="J1502" i="2"/>
  <c r="H1502" i="2"/>
  <c r="G1502" i="2"/>
  <c r="C1502" i="2"/>
  <c r="O1501" i="2"/>
  <c r="J1501" i="2"/>
  <c r="H1501" i="2"/>
  <c r="G1501" i="2"/>
  <c r="C1501" i="2"/>
  <c r="O1500" i="2"/>
  <c r="N1500" i="2"/>
  <c r="J1500" i="2"/>
  <c r="H1500" i="2"/>
  <c r="G1500" i="2"/>
  <c r="C1500" i="2"/>
  <c r="O1499" i="2"/>
  <c r="N1499" i="2"/>
  <c r="J1499" i="2"/>
  <c r="H1499" i="2"/>
  <c r="G1499" i="2"/>
  <c r="C1499" i="2"/>
  <c r="O1498" i="2"/>
  <c r="N1498" i="2"/>
  <c r="J1498" i="2"/>
  <c r="H1498" i="2"/>
  <c r="G1498" i="2"/>
  <c r="C1498" i="2"/>
  <c r="O1497" i="2"/>
  <c r="N1497" i="2"/>
  <c r="J1497" i="2"/>
  <c r="H1497" i="2"/>
  <c r="G1497" i="2"/>
  <c r="C1497" i="2"/>
  <c r="O1496" i="2"/>
  <c r="N1496" i="2"/>
  <c r="J1496" i="2"/>
  <c r="H1496" i="2"/>
  <c r="G1496" i="2"/>
  <c r="C1496" i="2"/>
  <c r="O1495" i="2"/>
  <c r="N1495" i="2"/>
  <c r="J1495" i="2"/>
  <c r="H1495" i="2"/>
  <c r="G1495" i="2"/>
  <c r="C1495" i="2"/>
  <c r="O1494" i="2"/>
  <c r="N1494" i="2"/>
  <c r="J1494" i="2"/>
  <c r="H1494" i="2"/>
  <c r="G1494" i="2"/>
  <c r="C1494" i="2"/>
  <c r="O1493" i="2"/>
  <c r="N1493" i="2"/>
  <c r="J1493" i="2"/>
  <c r="H1493" i="2"/>
  <c r="G1493" i="2"/>
  <c r="C1493" i="2"/>
  <c r="O1492" i="2"/>
  <c r="N1492" i="2"/>
  <c r="J1492" i="2"/>
  <c r="H1492" i="2"/>
  <c r="G1492" i="2"/>
  <c r="C1492" i="2"/>
  <c r="O1491" i="2"/>
  <c r="N1491" i="2"/>
  <c r="J1491" i="2"/>
  <c r="H1491" i="2"/>
  <c r="G1491" i="2"/>
  <c r="C1491" i="2"/>
  <c r="O1490" i="2"/>
  <c r="N1490" i="2"/>
  <c r="J1490" i="2"/>
  <c r="H1490" i="2"/>
  <c r="G1490" i="2"/>
  <c r="C1490" i="2"/>
  <c r="O1489" i="2"/>
  <c r="J1489" i="2"/>
  <c r="H1489" i="2"/>
  <c r="G1489" i="2"/>
  <c r="C1489" i="2"/>
  <c r="O1488" i="2"/>
  <c r="N1488" i="2"/>
  <c r="J1488" i="2"/>
  <c r="H1488" i="2"/>
  <c r="G1488" i="2"/>
  <c r="C1488" i="2"/>
  <c r="O1487" i="2"/>
  <c r="N1487" i="2"/>
  <c r="J1487" i="2"/>
  <c r="H1487" i="2"/>
  <c r="G1487" i="2"/>
  <c r="C1487" i="2"/>
  <c r="O1486" i="2"/>
  <c r="N1486" i="2"/>
  <c r="J1486" i="2"/>
  <c r="H1486" i="2"/>
  <c r="G1486" i="2"/>
  <c r="C1486" i="2"/>
  <c r="O1485" i="2"/>
  <c r="N1485" i="2"/>
  <c r="J1485" i="2"/>
  <c r="H1485" i="2"/>
  <c r="G1485" i="2"/>
  <c r="C1485" i="2"/>
  <c r="O1484" i="2"/>
  <c r="N1484" i="2"/>
  <c r="J1484" i="2"/>
  <c r="H1484" i="2"/>
  <c r="G1484" i="2"/>
  <c r="C1484" i="2"/>
  <c r="O1483" i="2"/>
  <c r="N1483" i="2"/>
  <c r="J1483" i="2"/>
  <c r="H1483" i="2"/>
  <c r="G1483" i="2"/>
  <c r="C1483" i="2"/>
  <c r="O1482" i="2"/>
  <c r="J1482" i="2"/>
  <c r="H1482" i="2"/>
  <c r="G1482" i="2"/>
  <c r="C1482" i="2"/>
  <c r="N1480" i="2"/>
  <c r="J1480" i="2"/>
  <c r="H1480" i="2"/>
  <c r="G1480" i="2"/>
  <c r="C1480" i="2"/>
  <c r="O1479" i="2"/>
  <c r="N1479" i="2"/>
  <c r="J1479" i="2"/>
  <c r="H1479" i="2"/>
  <c r="G1479" i="2"/>
  <c r="C1479" i="2"/>
  <c r="O1478" i="2"/>
  <c r="N1478" i="2"/>
  <c r="J1478" i="2"/>
  <c r="H1478" i="2"/>
  <c r="G1478" i="2"/>
  <c r="C1478" i="2"/>
  <c r="O1477" i="2"/>
  <c r="N1477" i="2"/>
  <c r="J1477" i="2"/>
  <c r="H1477" i="2"/>
  <c r="G1477" i="2"/>
  <c r="C1477" i="2"/>
  <c r="O1476" i="2"/>
  <c r="N1476" i="2"/>
  <c r="J1476" i="2"/>
  <c r="H1476" i="2"/>
  <c r="G1476" i="2"/>
  <c r="C1476" i="2"/>
  <c r="O1475" i="2"/>
  <c r="N1475" i="2"/>
  <c r="J1475" i="2"/>
  <c r="H1475" i="2"/>
  <c r="G1475" i="2"/>
  <c r="C1475" i="2"/>
  <c r="O1474" i="2"/>
  <c r="N1474" i="2"/>
  <c r="J1474" i="2"/>
  <c r="H1474" i="2"/>
  <c r="G1474" i="2"/>
  <c r="C1474" i="2"/>
  <c r="O1473" i="2"/>
  <c r="J1473" i="2"/>
  <c r="H1473" i="2"/>
  <c r="G1473" i="2"/>
  <c r="C1473" i="2"/>
  <c r="O1472" i="2"/>
  <c r="N1472" i="2"/>
  <c r="J1472" i="2"/>
  <c r="H1472" i="2"/>
  <c r="G1472" i="2"/>
  <c r="C1472" i="2"/>
  <c r="O1471" i="2"/>
  <c r="N1471" i="2"/>
  <c r="J1471" i="2"/>
  <c r="H1471" i="2"/>
  <c r="G1471" i="2"/>
  <c r="C1471" i="2"/>
  <c r="O1470" i="2"/>
  <c r="N1470" i="2"/>
  <c r="J1470" i="2"/>
  <c r="H1470" i="2"/>
  <c r="G1470" i="2"/>
  <c r="C1470" i="2"/>
  <c r="O1469" i="2"/>
  <c r="N1469" i="2"/>
  <c r="J1469" i="2"/>
  <c r="H1469" i="2"/>
  <c r="G1469" i="2"/>
  <c r="C1469" i="2"/>
  <c r="O1468" i="2"/>
  <c r="N1468" i="2"/>
  <c r="J1468" i="2"/>
  <c r="H1468" i="2"/>
  <c r="G1468" i="2"/>
  <c r="C1468" i="2"/>
  <c r="O1467" i="2"/>
  <c r="N1467" i="2"/>
  <c r="J1467" i="2"/>
  <c r="H1467" i="2"/>
  <c r="G1467" i="2"/>
  <c r="C1467" i="2"/>
  <c r="O1466" i="2"/>
  <c r="N1466" i="2"/>
  <c r="J1466" i="2"/>
  <c r="H1466" i="2"/>
  <c r="G1466" i="2"/>
  <c r="C1466" i="2"/>
  <c r="O1465" i="2"/>
  <c r="N1465" i="2"/>
  <c r="J1465" i="2"/>
  <c r="H1465" i="2"/>
  <c r="G1465" i="2"/>
  <c r="C1465" i="2"/>
  <c r="O1464" i="2"/>
  <c r="N1464" i="2"/>
  <c r="J1464" i="2"/>
  <c r="H1464" i="2"/>
  <c r="G1464" i="2"/>
  <c r="C1464" i="2"/>
  <c r="O1463" i="2"/>
  <c r="N1463" i="2"/>
  <c r="J1463" i="2"/>
  <c r="H1463" i="2"/>
  <c r="G1463" i="2"/>
  <c r="C1463" i="2"/>
  <c r="O1462" i="2"/>
  <c r="N1462" i="2"/>
  <c r="J1462" i="2"/>
  <c r="H1462" i="2"/>
  <c r="G1462" i="2"/>
  <c r="C1462" i="2"/>
  <c r="O1461" i="2"/>
  <c r="N1461" i="2"/>
  <c r="J1461" i="2"/>
  <c r="H1461" i="2"/>
  <c r="G1461" i="2"/>
  <c r="C1461" i="2"/>
  <c r="O1460" i="2"/>
  <c r="N1460" i="2"/>
  <c r="J1460" i="2"/>
  <c r="H1460" i="2"/>
  <c r="G1460" i="2"/>
  <c r="C1460" i="2"/>
  <c r="O1459" i="2"/>
  <c r="N1459" i="2"/>
  <c r="J1459" i="2"/>
  <c r="H1459" i="2"/>
  <c r="G1459" i="2"/>
  <c r="C1459" i="2"/>
  <c r="O1458" i="2"/>
  <c r="N1458" i="2"/>
  <c r="J1458" i="2"/>
  <c r="H1458" i="2"/>
  <c r="G1458" i="2"/>
  <c r="C1458" i="2"/>
  <c r="O1457" i="2"/>
  <c r="N1457" i="2"/>
  <c r="J1457" i="2"/>
  <c r="H1457" i="2"/>
  <c r="G1457" i="2"/>
  <c r="C1457" i="2"/>
  <c r="O1456" i="2"/>
  <c r="N1456" i="2"/>
  <c r="J1456" i="2"/>
  <c r="H1456" i="2"/>
  <c r="G1456" i="2"/>
  <c r="C1456" i="2"/>
  <c r="O1455" i="2"/>
  <c r="N1455" i="2"/>
  <c r="J1455" i="2"/>
  <c r="H1455" i="2"/>
  <c r="G1455" i="2"/>
  <c r="C1455" i="2"/>
  <c r="O1454" i="2"/>
  <c r="N1454" i="2"/>
  <c r="J1454" i="2"/>
  <c r="H1454" i="2"/>
  <c r="G1454" i="2"/>
  <c r="C1454" i="2"/>
  <c r="O1453" i="2"/>
  <c r="N1453" i="2"/>
  <c r="J1453" i="2"/>
  <c r="H1453" i="2"/>
  <c r="G1453" i="2"/>
  <c r="C1453" i="2"/>
  <c r="O1452" i="2"/>
  <c r="N1452" i="2"/>
  <c r="J1452" i="2"/>
  <c r="H1452" i="2"/>
  <c r="G1452" i="2"/>
  <c r="C1452" i="2"/>
  <c r="O1451" i="2"/>
  <c r="N1451" i="2"/>
  <c r="J1451" i="2"/>
  <c r="H1451" i="2"/>
  <c r="G1451" i="2"/>
  <c r="C1451" i="2"/>
  <c r="O1450" i="2"/>
  <c r="N1450" i="2"/>
  <c r="J1450" i="2"/>
  <c r="H1450" i="2"/>
  <c r="G1450" i="2"/>
  <c r="C1450" i="2"/>
  <c r="O1449" i="2"/>
  <c r="N1449" i="2"/>
  <c r="J1449" i="2"/>
  <c r="H1449" i="2"/>
  <c r="G1449" i="2"/>
  <c r="C1449" i="2"/>
  <c r="O1448" i="2"/>
  <c r="N1448" i="2"/>
  <c r="J1448" i="2"/>
  <c r="H1448" i="2"/>
  <c r="G1448" i="2"/>
  <c r="C1448" i="2"/>
  <c r="O1447" i="2"/>
  <c r="N1447" i="2"/>
  <c r="J1447" i="2"/>
  <c r="H1447" i="2"/>
  <c r="G1447" i="2"/>
  <c r="C1447" i="2"/>
  <c r="O1446" i="2"/>
  <c r="N1446" i="2"/>
  <c r="J1446" i="2"/>
  <c r="H1446" i="2"/>
  <c r="G1446" i="2"/>
  <c r="C1446" i="2"/>
  <c r="O1445" i="2"/>
  <c r="N1445" i="2"/>
  <c r="J1445" i="2"/>
  <c r="H1445" i="2"/>
  <c r="G1445" i="2"/>
  <c r="C1445" i="2"/>
  <c r="O1444" i="2"/>
  <c r="N1444" i="2"/>
  <c r="J1444" i="2"/>
  <c r="H1444" i="2"/>
  <c r="G1444" i="2"/>
  <c r="C1444" i="2"/>
  <c r="O1443" i="2"/>
  <c r="N1443" i="2"/>
  <c r="J1443" i="2"/>
  <c r="H1443" i="2"/>
  <c r="G1443" i="2"/>
  <c r="C1443" i="2"/>
  <c r="O1442" i="2"/>
  <c r="N1442" i="2"/>
  <c r="J1442" i="2"/>
  <c r="H1442" i="2"/>
  <c r="G1442" i="2"/>
  <c r="C1442" i="2"/>
  <c r="O1441" i="2"/>
  <c r="J1441" i="2"/>
  <c r="H1441" i="2"/>
  <c r="G1441" i="2"/>
  <c r="C1441" i="2"/>
  <c r="O1440" i="2"/>
  <c r="N1440" i="2"/>
  <c r="J1440" i="2"/>
  <c r="H1440" i="2"/>
  <c r="G1440" i="2"/>
  <c r="C1440" i="2"/>
  <c r="O1439" i="2"/>
  <c r="N1439" i="2"/>
  <c r="J1439" i="2"/>
  <c r="H1439" i="2"/>
  <c r="G1439" i="2"/>
  <c r="C1439" i="2"/>
  <c r="O1438" i="2"/>
  <c r="N1438" i="2"/>
  <c r="J1438" i="2"/>
  <c r="H1438" i="2"/>
  <c r="G1438" i="2"/>
  <c r="C1438" i="2"/>
  <c r="O1437" i="2"/>
  <c r="N1437" i="2"/>
  <c r="J1437" i="2"/>
  <c r="H1437" i="2"/>
  <c r="G1437" i="2"/>
  <c r="C1437" i="2"/>
  <c r="O1436" i="2"/>
  <c r="J1436" i="2"/>
  <c r="H1436" i="2"/>
  <c r="G1436" i="2"/>
  <c r="C1436" i="2"/>
  <c r="O1435" i="2"/>
  <c r="N1435" i="2"/>
  <c r="J1435" i="2"/>
  <c r="H1435" i="2"/>
  <c r="G1435" i="2"/>
  <c r="C1435" i="2"/>
  <c r="O1434" i="2"/>
  <c r="J1434" i="2"/>
  <c r="H1434" i="2"/>
  <c r="G1434" i="2"/>
  <c r="C1434" i="2"/>
  <c r="O1432" i="2"/>
  <c r="N1432" i="2"/>
  <c r="J1432" i="2"/>
  <c r="H1432" i="2"/>
  <c r="G1432" i="2"/>
  <c r="C1432" i="2"/>
  <c r="O1431" i="2"/>
  <c r="N1431" i="2"/>
  <c r="J1431" i="2"/>
  <c r="H1431" i="2"/>
  <c r="G1431" i="2"/>
  <c r="C1431" i="2"/>
  <c r="O1430" i="2"/>
  <c r="N1430" i="2"/>
  <c r="J1430" i="2"/>
  <c r="H1430" i="2"/>
  <c r="G1430" i="2"/>
  <c r="C1430" i="2"/>
  <c r="J1429" i="2"/>
  <c r="H1429" i="2"/>
  <c r="G1429" i="2"/>
  <c r="C1429" i="2"/>
  <c r="O1428" i="2"/>
  <c r="N1428" i="2"/>
  <c r="J1428" i="2"/>
  <c r="H1428" i="2"/>
  <c r="G1428" i="2"/>
  <c r="C1428" i="2"/>
  <c r="O1427" i="2"/>
  <c r="J1427" i="2"/>
  <c r="H1427" i="2"/>
  <c r="G1427" i="2"/>
  <c r="C1427" i="2"/>
  <c r="O1426" i="2"/>
  <c r="N1426" i="2"/>
  <c r="J1426" i="2"/>
  <c r="H1426" i="2"/>
  <c r="G1426" i="2"/>
  <c r="C1426" i="2"/>
  <c r="O1425" i="2"/>
  <c r="N1425" i="2"/>
  <c r="J1425" i="2"/>
  <c r="H1425" i="2"/>
  <c r="G1425" i="2"/>
  <c r="C1425" i="2"/>
  <c r="O1424" i="2"/>
  <c r="N1424" i="2"/>
  <c r="J1424" i="2"/>
  <c r="H1424" i="2"/>
  <c r="G1424" i="2"/>
  <c r="C1424" i="2"/>
  <c r="O1423" i="2"/>
  <c r="N1423" i="2"/>
  <c r="J1423" i="2"/>
  <c r="H1423" i="2"/>
  <c r="G1423" i="2"/>
  <c r="C1423" i="2"/>
  <c r="O1422" i="2"/>
  <c r="N1422" i="2"/>
  <c r="J1422" i="2"/>
  <c r="H1422" i="2"/>
  <c r="G1422" i="2"/>
  <c r="C1422" i="2"/>
  <c r="O1421" i="2"/>
  <c r="N1421" i="2"/>
  <c r="J1421" i="2"/>
  <c r="H1421" i="2"/>
  <c r="G1421" i="2"/>
  <c r="C1421" i="2"/>
  <c r="O1420" i="2"/>
  <c r="N1420" i="2"/>
  <c r="J1420" i="2"/>
  <c r="H1420" i="2"/>
  <c r="G1420" i="2"/>
  <c r="C1420" i="2"/>
  <c r="O1419" i="2"/>
  <c r="N1419" i="2"/>
  <c r="J1419" i="2"/>
  <c r="H1419" i="2"/>
  <c r="G1419" i="2"/>
  <c r="C1419" i="2"/>
  <c r="O1418" i="2"/>
  <c r="N1418" i="2"/>
  <c r="J1418" i="2"/>
  <c r="H1418" i="2"/>
  <c r="G1418" i="2"/>
  <c r="C1418" i="2"/>
  <c r="O1417" i="2"/>
  <c r="N1417" i="2"/>
  <c r="J1417" i="2"/>
  <c r="H1417" i="2"/>
  <c r="G1417" i="2"/>
  <c r="C1417" i="2"/>
  <c r="O1416" i="2"/>
  <c r="N1416" i="2"/>
  <c r="J1416" i="2"/>
  <c r="H1416" i="2"/>
  <c r="G1416" i="2"/>
  <c r="C1416" i="2"/>
  <c r="O1415" i="2"/>
  <c r="N1415" i="2"/>
  <c r="J1415" i="2"/>
  <c r="H1415" i="2"/>
  <c r="G1415" i="2"/>
  <c r="C1415" i="2"/>
  <c r="O1414" i="2"/>
  <c r="N1414" i="2"/>
  <c r="J1414" i="2"/>
  <c r="H1414" i="2"/>
  <c r="G1414" i="2"/>
  <c r="C1414" i="2"/>
  <c r="O1413" i="2"/>
  <c r="N1413" i="2"/>
  <c r="J1413" i="2"/>
  <c r="H1413" i="2"/>
  <c r="G1413" i="2"/>
  <c r="C1413" i="2"/>
  <c r="O1412" i="2"/>
  <c r="N1412" i="2"/>
  <c r="J1412" i="2"/>
  <c r="H1412" i="2"/>
  <c r="G1412" i="2"/>
  <c r="C1412" i="2"/>
  <c r="O1411" i="2"/>
  <c r="N1411" i="2"/>
  <c r="J1411" i="2"/>
  <c r="H1411" i="2"/>
  <c r="G1411" i="2"/>
  <c r="C1411" i="2"/>
  <c r="O1410" i="2"/>
  <c r="N1410" i="2"/>
  <c r="J1410" i="2"/>
  <c r="H1410" i="2"/>
  <c r="G1410" i="2"/>
  <c r="C1410" i="2"/>
  <c r="O1409" i="2"/>
  <c r="N1409" i="2"/>
  <c r="J1409" i="2"/>
  <c r="H1409" i="2"/>
  <c r="G1409" i="2"/>
  <c r="C1409" i="2"/>
  <c r="O1408" i="2"/>
  <c r="N1408" i="2"/>
  <c r="J1408" i="2"/>
  <c r="H1408" i="2"/>
  <c r="G1408" i="2"/>
  <c r="C1408" i="2"/>
  <c r="O1407" i="2"/>
  <c r="N1407" i="2"/>
  <c r="J1407" i="2"/>
  <c r="H1407" i="2"/>
  <c r="G1407" i="2"/>
  <c r="C1407" i="2"/>
  <c r="O1406" i="2"/>
  <c r="N1406" i="2"/>
  <c r="J1406" i="2"/>
  <c r="H1406" i="2"/>
  <c r="G1406" i="2"/>
  <c r="C1406" i="2"/>
  <c r="O1405" i="2"/>
  <c r="N1405" i="2"/>
  <c r="J1405" i="2"/>
  <c r="H1405" i="2"/>
  <c r="G1405" i="2"/>
  <c r="C1405" i="2"/>
  <c r="O1404" i="2"/>
  <c r="N1404" i="2"/>
  <c r="J1404" i="2"/>
  <c r="H1404" i="2"/>
  <c r="G1404" i="2"/>
  <c r="C1404" i="2"/>
  <c r="O1403" i="2"/>
  <c r="N1403" i="2"/>
  <c r="J1403" i="2"/>
  <c r="H1403" i="2"/>
  <c r="G1403" i="2"/>
  <c r="C1403" i="2"/>
  <c r="O1402" i="2"/>
  <c r="N1402" i="2"/>
  <c r="J1402" i="2"/>
  <c r="H1402" i="2"/>
  <c r="G1402" i="2"/>
  <c r="C1402" i="2"/>
  <c r="O1401" i="2"/>
  <c r="N1401" i="2"/>
  <c r="J1401" i="2"/>
  <c r="H1401" i="2"/>
  <c r="G1401" i="2"/>
  <c r="C1401" i="2"/>
  <c r="O1400" i="2"/>
  <c r="N1400" i="2"/>
  <c r="J1400" i="2"/>
  <c r="H1400" i="2"/>
  <c r="G1400" i="2"/>
  <c r="C1400" i="2"/>
  <c r="O1399" i="2"/>
  <c r="N1399" i="2"/>
  <c r="J1399" i="2"/>
  <c r="H1399" i="2"/>
  <c r="G1399" i="2"/>
  <c r="C1399" i="2"/>
  <c r="O1398" i="2"/>
  <c r="N1398" i="2"/>
  <c r="J1398" i="2"/>
  <c r="H1398" i="2"/>
  <c r="G1398" i="2"/>
  <c r="C1398" i="2"/>
  <c r="O1397" i="2"/>
  <c r="N1397" i="2"/>
  <c r="J1397" i="2"/>
  <c r="H1397" i="2"/>
  <c r="G1397" i="2"/>
  <c r="C1397" i="2"/>
  <c r="O1396" i="2"/>
  <c r="N1396" i="2"/>
  <c r="J1396" i="2"/>
  <c r="H1396" i="2"/>
  <c r="G1396" i="2"/>
  <c r="C1396" i="2"/>
  <c r="O1395" i="2"/>
  <c r="N1395" i="2"/>
  <c r="J1395" i="2"/>
  <c r="H1395" i="2"/>
  <c r="G1395" i="2"/>
  <c r="C1395" i="2"/>
  <c r="O1394" i="2"/>
  <c r="N1394" i="2"/>
  <c r="J1394" i="2"/>
  <c r="H1394" i="2"/>
  <c r="G1394" i="2"/>
  <c r="C1394" i="2"/>
  <c r="O1393" i="2"/>
  <c r="N1393" i="2"/>
  <c r="J1393" i="2"/>
  <c r="H1393" i="2"/>
  <c r="G1393" i="2"/>
  <c r="C1393" i="2"/>
  <c r="O1392" i="2"/>
  <c r="N1392" i="2"/>
  <c r="J1392" i="2"/>
  <c r="H1392" i="2"/>
  <c r="G1392" i="2"/>
  <c r="C1392" i="2"/>
  <c r="O1391" i="2"/>
  <c r="N1391" i="2"/>
  <c r="J1391" i="2"/>
  <c r="H1391" i="2"/>
  <c r="G1391" i="2"/>
  <c r="C1391" i="2"/>
  <c r="O1390" i="2"/>
  <c r="N1390" i="2"/>
  <c r="J1390" i="2"/>
  <c r="H1390" i="2"/>
  <c r="G1390" i="2"/>
  <c r="C1390" i="2"/>
  <c r="O1389" i="2"/>
  <c r="N1389" i="2"/>
  <c r="J1389" i="2"/>
  <c r="H1389" i="2"/>
  <c r="G1389" i="2"/>
  <c r="C1389" i="2"/>
  <c r="O1388" i="2"/>
  <c r="N1388" i="2"/>
  <c r="J1388" i="2"/>
  <c r="H1388" i="2"/>
  <c r="G1388" i="2"/>
  <c r="C1388" i="2"/>
  <c r="O1387" i="2"/>
  <c r="N1387" i="2"/>
  <c r="J1387" i="2"/>
  <c r="H1387" i="2"/>
  <c r="G1387" i="2"/>
  <c r="C1387" i="2"/>
  <c r="O1386" i="2"/>
  <c r="N1386" i="2"/>
  <c r="J1386" i="2"/>
  <c r="H1386" i="2"/>
  <c r="G1386" i="2"/>
  <c r="C1386" i="2"/>
  <c r="O1385" i="2"/>
  <c r="N1385" i="2"/>
  <c r="J1385" i="2"/>
  <c r="H1385" i="2"/>
  <c r="G1385" i="2"/>
  <c r="C1385" i="2"/>
  <c r="O1384" i="2"/>
  <c r="N1384" i="2"/>
  <c r="J1384" i="2"/>
  <c r="H1384" i="2"/>
  <c r="G1384" i="2"/>
  <c r="C1384" i="2"/>
  <c r="O1383" i="2"/>
  <c r="N1383" i="2"/>
  <c r="J1383" i="2"/>
  <c r="H1383" i="2"/>
  <c r="G1383" i="2"/>
  <c r="C1383" i="2"/>
  <c r="O1382" i="2"/>
  <c r="N1382" i="2"/>
  <c r="J1382" i="2"/>
  <c r="H1382" i="2"/>
  <c r="G1382" i="2"/>
  <c r="C1382" i="2"/>
  <c r="O1381" i="2"/>
  <c r="N1381" i="2"/>
  <c r="J1381" i="2"/>
  <c r="H1381" i="2"/>
  <c r="G1381" i="2"/>
  <c r="C1381" i="2"/>
  <c r="O1380" i="2"/>
  <c r="N1380" i="2"/>
  <c r="J1380" i="2"/>
  <c r="H1380" i="2"/>
  <c r="G1380" i="2"/>
  <c r="C1380" i="2"/>
  <c r="O1379" i="2"/>
  <c r="N1379" i="2"/>
  <c r="J1379" i="2"/>
  <c r="H1379" i="2"/>
  <c r="G1379" i="2"/>
  <c r="C1379" i="2"/>
  <c r="O1378" i="2"/>
  <c r="N1378" i="2"/>
  <c r="J1378" i="2"/>
  <c r="H1378" i="2"/>
  <c r="G1378" i="2"/>
  <c r="C1378" i="2"/>
  <c r="O1377" i="2"/>
  <c r="N1377" i="2"/>
  <c r="J1377" i="2"/>
  <c r="H1377" i="2"/>
  <c r="G1377" i="2"/>
  <c r="C1377" i="2"/>
  <c r="O1376" i="2"/>
  <c r="N1376" i="2"/>
  <c r="J1376" i="2"/>
  <c r="H1376" i="2"/>
  <c r="G1376" i="2"/>
  <c r="C1376" i="2"/>
  <c r="O1375" i="2"/>
  <c r="N1375" i="2"/>
  <c r="J1375" i="2"/>
  <c r="H1375" i="2"/>
  <c r="G1375" i="2"/>
  <c r="C1375" i="2"/>
  <c r="O1374" i="2"/>
  <c r="N1374" i="2"/>
  <c r="J1374" i="2"/>
  <c r="H1374" i="2"/>
  <c r="G1374" i="2"/>
  <c r="C1374" i="2"/>
  <c r="O1373" i="2"/>
  <c r="N1373" i="2"/>
  <c r="J1373" i="2"/>
  <c r="H1373" i="2"/>
  <c r="G1373" i="2"/>
  <c r="C1373" i="2"/>
  <c r="O1372" i="2"/>
  <c r="N1372" i="2"/>
  <c r="J1372" i="2"/>
  <c r="H1372" i="2"/>
  <c r="G1372" i="2"/>
  <c r="C1372" i="2"/>
  <c r="O1371" i="2"/>
  <c r="N1371" i="2"/>
  <c r="J1371" i="2"/>
  <c r="H1371" i="2"/>
  <c r="G1371" i="2"/>
  <c r="C1371" i="2"/>
  <c r="O1370" i="2"/>
  <c r="J1370" i="2"/>
  <c r="H1370" i="2"/>
  <c r="G1370" i="2"/>
  <c r="C1370" i="2"/>
  <c r="O1369" i="2"/>
  <c r="N1369" i="2"/>
  <c r="J1369" i="2"/>
  <c r="H1369" i="2"/>
  <c r="G1369" i="2"/>
  <c r="C1369" i="2"/>
  <c r="O1368" i="2"/>
  <c r="J1368" i="2"/>
  <c r="H1368" i="2"/>
  <c r="G1368" i="2"/>
  <c r="C1368" i="2"/>
  <c r="O1367" i="2"/>
  <c r="N1367" i="2"/>
  <c r="J1367" i="2"/>
  <c r="H1367" i="2"/>
  <c r="G1367" i="2"/>
  <c r="C1367" i="2"/>
  <c r="O1366" i="2"/>
  <c r="N1366" i="2"/>
  <c r="J1366" i="2"/>
  <c r="H1366" i="2"/>
  <c r="G1366" i="2"/>
  <c r="C1366" i="2"/>
  <c r="O1365" i="2"/>
  <c r="J1365" i="2"/>
  <c r="H1365" i="2"/>
  <c r="G1365" i="2"/>
  <c r="C1365" i="2"/>
  <c r="O1364" i="2"/>
  <c r="N1364" i="2"/>
  <c r="J1364" i="2"/>
  <c r="H1364" i="2"/>
  <c r="G1364" i="2"/>
  <c r="C1364" i="2"/>
  <c r="O1363" i="2"/>
  <c r="N1363" i="2"/>
  <c r="J1363" i="2"/>
  <c r="H1363" i="2"/>
  <c r="G1363" i="2"/>
  <c r="C1363" i="2"/>
  <c r="O1362" i="2"/>
  <c r="N1362" i="2"/>
  <c r="J1362" i="2"/>
  <c r="H1362" i="2"/>
  <c r="G1362" i="2"/>
  <c r="C1362" i="2"/>
  <c r="O1361" i="2"/>
  <c r="N1361" i="2"/>
  <c r="J1361" i="2"/>
  <c r="H1361" i="2"/>
  <c r="G1361" i="2"/>
  <c r="C1361" i="2"/>
  <c r="N1360" i="2"/>
  <c r="J1360" i="2"/>
  <c r="H1360" i="2"/>
  <c r="C1360" i="2"/>
  <c r="O1359" i="2"/>
  <c r="N1359" i="2"/>
  <c r="J1359" i="2"/>
  <c r="H1359" i="2"/>
  <c r="G1359" i="2"/>
  <c r="C1359" i="2"/>
  <c r="O1358" i="2"/>
  <c r="N1358" i="2"/>
  <c r="J1358" i="2"/>
  <c r="H1358" i="2"/>
  <c r="G1358" i="2"/>
  <c r="C1358" i="2"/>
  <c r="O1357" i="2"/>
  <c r="N1357" i="2"/>
  <c r="J1357" i="2"/>
  <c r="H1357" i="2"/>
  <c r="G1357" i="2"/>
  <c r="C1357" i="2"/>
  <c r="O1356" i="2"/>
  <c r="N1356" i="2"/>
  <c r="J1356" i="2"/>
  <c r="H1356" i="2"/>
  <c r="G1356" i="2"/>
  <c r="C1356" i="2"/>
  <c r="O1355" i="2"/>
  <c r="N1355" i="2"/>
  <c r="J1355" i="2"/>
  <c r="H1355" i="2"/>
  <c r="G1355" i="2"/>
  <c r="C1355" i="2"/>
  <c r="O1354" i="2"/>
  <c r="N1354" i="2"/>
  <c r="J1354" i="2"/>
  <c r="H1354" i="2"/>
  <c r="G1354" i="2"/>
  <c r="C1354" i="2"/>
  <c r="O1353" i="2"/>
  <c r="N1353" i="2"/>
  <c r="J1353" i="2"/>
  <c r="H1353" i="2"/>
  <c r="G1353" i="2"/>
  <c r="C1353" i="2"/>
  <c r="O1352" i="2"/>
  <c r="N1352" i="2"/>
  <c r="J1352" i="2"/>
  <c r="H1352" i="2"/>
  <c r="G1352" i="2"/>
  <c r="C1352" i="2"/>
  <c r="O1351" i="2"/>
  <c r="N1351" i="2"/>
  <c r="J1351" i="2"/>
  <c r="H1351" i="2"/>
  <c r="G1351" i="2"/>
  <c r="C1351" i="2"/>
  <c r="N1350" i="2"/>
  <c r="J1350" i="2"/>
  <c r="H1350" i="2"/>
  <c r="G1350" i="2"/>
  <c r="C1350" i="2"/>
  <c r="O1349" i="2"/>
  <c r="N1349" i="2"/>
  <c r="J1349" i="2"/>
  <c r="H1349" i="2"/>
  <c r="G1349" i="2"/>
  <c r="C1349" i="2"/>
  <c r="O1348" i="2"/>
  <c r="N1348" i="2"/>
  <c r="J1348" i="2"/>
  <c r="H1348" i="2"/>
  <c r="G1348" i="2"/>
  <c r="C1348" i="2"/>
  <c r="O1347" i="2"/>
  <c r="N1347" i="2"/>
  <c r="J1347" i="2"/>
  <c r="H1347" i="2"/>
  <c r="G1347" i="2"/>
  <c r="C1347" i="2"/>
  <c r="O1346" i="2"/>
  <c r="N1346" i="2"/>
  <c r="J1346" i="2"/>
  <c r="H1346" i="2"/>
  <c r="G1346" i="2"/>
  <c r="C1346" i="2"/>
  <c r="O1345" i="2"/>
  <c r="N1345" i="2"/>
  <c r="J1345" i="2"/>
  <c r="H1345" i="2"/>
  <c r="G1345" i="2"/>
  <c r="C1345" i="2"/>
  <c r="O1344" i="2"/>
  <c r="N1344" i="2"/>
  <c r="J1344" i="2"/>
  <c r="H1344" i="2"/>
  <c r="G1344" i="2"/>
  <c r="C1344" i="2"/>
  <c r="O1343" i="2"/>
  <c r="N1343" i="2"/>
  <c r="J1343" i="2"/>
  <c r="H1343" i="2"/>
  <c r="G1343" i="2"/>
  <c r="C1343" i="2"/>
  <c r="O1342" i="2"/>
  <c r="J1342" i="2"/>
  <c r="H1342" i="2"/>
  <c r="G1342" i="2"/>
  <c r="C1342" i="2"/>
  <c r="O1341" i="2"/>
  <c r="N1341" i="2"/>
  <c r="J1341" i="2"/>
  <c r="H1341" i="2"/>
  <c r="G1341" i="2"/>
  <c r="C1341" i="2"/>
  <c r="O1340" i="2"/>
  <c r="N1340" i="2"/>
  <c r="J1340" i="2"/>
  <c r="H1340" i="2"/>
  <c r="G1340" i="2"/>
  <c r="C1340" i="2"/>
  <c r="O1339" i="2"/>
  <c r="N1339" i="2"/>
  <c r="J1339" i="2"/>
  <c r="H1339" i="2"/>
  <c r="G1339" i="2"/>
  <c r="C1339" i="2"/>
  <c r="O1338" i="2"/>
  <c r="N1338" i="2"/>
  <c r="J1338" i="2"/>
  <c r="H1338" i="2"/>
  <c r="G1338" i="2"/>
  <c r="C1338" i="2"/>
  <c r="O1337" i="2"/>
  <c r="N1337" i="2"/>
  <c r="J1337" i="2"/>
  <c r="H1337" i="2"/>
  <c r="G1337" i="2"/>
  <c r="C1337" i="2"/>
  <c r="O1336" i="2"/>
  <c r="N1336" i="2"/>
  <c r="J1336" i="2"/>
  <c r="H1336" i="2"/>
  <c r="G1336" i="2"/>
  <c r="C1336" i="2"/>
  <c r="O1335" i="2"/>
  <c r="N1335" i="2"/>
  <c r="J1335" i="2"/>
  <c r="H1335" i="2"/>
  <c r="G1335" i="2"/>
  <c r="C1335" i="2"/>
  <c r="O1334" i="2"/>
  <c r="N1334" i="2"/>
  <c r="J1334" i="2"/>
  <c r="H1334" i="2"/>
  <c r="G1334" i="2"/>
  <c r="C1334" i="2"/>
  <c r="O1333" i="2"/>
  <c r="N1333" i="2"/>
  <c r="J1333" i="2"/>
  <c r="H1333" i="2"/>
  <c r="G1333" i="2"/>
  <c r="C1333" i="2"/>
  <c r="O1332" i="2"/>
  <c r="N1332" i="2"/>
  <c r="J1332" i="2"/>
  <c r="H1332" i="2"/>
  <c r="G1332" i="2"/>
  <c r="C1332" i="2"/>
  <c r="J1331" i="2"/>
  <c r="H1331" i="2"/>
  <c r="G1331" i="2"/>
  <c r="C1331" i="2"/>
  <c r="O1330" i="2"/>
  <c r="N1330" i="2"/>
  <c r="J1330" i="2"/>
  <c r="H1330" i="2"/>
  <c r="G1330" i="2"/>
  <c r="C1330" i="2"/>
  <c r="J1329" i="2"/>
  <c r="H1329" i="2"/>
  <c r="G1329" i="2"/>
  <c r="C1329" i="2"/>
  <c r="O1328" i="2"/>
  <c r="N1328" i="2"/>
  <c r="J1328" i="2"/>
  <c r="H1328" i="2"/>
  <c r="G1328" i="2"/>
  <c r="C1328" i="2"/>
  <c r="O1327" i="2"/>
  <c r="N1327" i="2"/>
  <c r="J1327" i="2"/>
  <c r="H1327" i="2"/>
  <c r="G1327" i="2"/>
  <c r="C1327" i="2"/>
  <c r="O1326" i="2"/>
  <c r="N1326" i="2"/>
  <c r="J1326" i="2"/>
  <c r="H1326" i="2"/>
  <c r="G1326" i="2"/>
  <c r="C1326" i="2"/>
  <c r="O1325" i="2"/>
  <c r="N1325" i="2"/>
  <c r="J1325" i="2"/>
  <c r="H1325" i="2"/>
  <c r="G1325" i="2"/>
  <c r="C1325" i="2"/>
  <c r="O1324" i="2"/>
  <c r="N1324" i="2"/>
  <c r="J1324" i="2"/>
  <c r="H1324" i="2"/>
  <c r="G1324" i="2"/>
  <c r="C1324" i="2"/>
  <c r="O1323" i="2"/>
  <c r="N1323" i="2"/>
  <c r="J1323" i="2"/>
  <c r="H1323" i="2"/>
  <c r="G1323" i="2"/>
  <c r="C1323" i="2"/>
  <c r="O1322" i="2"/>
  <c r="N1322" i="2"/>
  <c r="J1322" i="2"/>
  <c r="H1322" i="2"/>
  <c r="G1322" i="2"/>
  <c r="C1322" i="2"/>
  <c r="O1321" i="2"/>
  <c r="N1321" i="2"/>
  <c r="J1321" i="2"/>
  <c r="H1321" i="2"/>
  <c r="G1321" i="2"/>
  <c r="C1321" i="2"/>
  <c r="O1320" i="2"/>
  <c r="N1320" i="2"/>
  <c r="J1320" i="2"/>
  <c r="H1320" i="2"/>
  <c r="G1320" i="2"/>
  <c r="C1320" i="2"/>
  <c r="O1319" i="2"/>
  <c r="N1319" i="2"/>
  <c r="J1319" i="2"/>
  <c r="H1319" i="2"/>
  <c r="G1319" i="2"/>
  <c r="C1319" i="2"/>
  <c r="O1318" i="2"/>
  <c r="N1318" i="2"/>
  <c r="J1318" i="2"/>
  <c r="H1318" i="2"/>
  <c r="G1318" i="2"/>
  <c r="C1318" i="2"/>
  <c r="O1317" i="2"/>
  <c r="N1317" i="2"/>
  <c r="J1317" i="2"/>
  <c r="H1317" i="2"/>
  <c r="G1317" i="2"/>
  <c r="C1317" i="2"/>
  <c r="O1316" i="2"/>
  <c r="N1316" i="2"/>
  <c r="J1316" i="2"/>
  <c r="H1316" i="2"/>
  <c r="G1316" i="2"/>
  <c r="C1316" i="2"/>
  <c r="O1315" i="2"/>
  <c r="N1315" i="2"/>
  <c r="J1315" i="2"/>
  <c r="H1315" i="2"/>
  <c r="G1315" i="2"/>
  <c r="C1315" i="2"/>
  <c r="O1314" i="2"/>
  <c r="N1314" i="2"/>
  <c r="J1314" i="2"/>
  <c r="H1314" i="2"/>
  <c r="G1314" i="2"/>
  <c r="C1314" i="2"/>
  <c r="O1313" i="2"/>
  <c r="N1313" i="2"/>
  <c r="J1313" i="2"/>
  <c r="H1313" i="2"/>
  <c r="G1313" i="2"/>
  <c r="C1313" i="2"/>
  <c r="O1312" i="2"/>
  <c r="N1312" i="2"/>
  <c r="J1312" i="2"/>
  <c r="H1312" i="2"/>
  <c r="G1312" i="2"/>
  <c r="C1312" i="2"/>
  <c r="O1311" i="2"/>
  <c r="N1311" i="2"/>
  <c r="J1311" i="2"/>
  <c r="H1311" i="2"/>
  <c r="G1311" i="2"/>
  <c r="C1311" i="2"/>
  <c r="O1310" i="2"/>
  <c r="N1310" i="2"/>
  <c r="J1310" i="2"/>
  <c r="H1310" i="2"/>
  <c r="G1310" i="2"/>
  <c r="C1310" i="2"/>
  <c r="O1309" i="2"/>
  <c r="N1309" i="2"/>
  <c r="J1309" i="2"/>
  <c r="H1309" i="2"/>
  <c r="G1309" i="2"/>
  <c r="C1309" i="2"/>
  <c r="O1308" i="2"/>
  <c r="N1308" i="2"/>
  <c r="J1308" i="2"/>
  <c r="H1308" i="2"/>
  <c r="G1308" i="2"/>
  <c r="C1308" i="2"/>
  <c r="O1307" i="2"/>
  <c r="N1307" i="2"/>
  <c r="J1307" i="2"/>
  <c r="H1307" i="2"/>
  <c r="G1307" i="2"/>
  <c r="C1307" i="2"/>
  <c r="O1306" i="2"/>
  <c r="N1306" i="2"/>
  <c r="J1306" i="2"/>
  <c r="H1306" i="2"/>
  <c r="G1306" i="2"/>
  <c r="C1306" i="2"/>
  <c r="O1305" i="2"/>
  <c r="N1305" i="2"/>
  <c r="J1305" i="2"/>
  <c r="H1305" i="2"/>
  <c r="G1305" i="2"/>
  <c r="C1305" i="2"/>
  <c r="O1304" i="2"/>
  <c r="N1304" i="2"/>
  <c r="J1304" i="2"/>
  <c r="H1304" i="2"/>
  <c r="G1304" i="2"/>
  <c r="C1304" i="2"/>
  <c r="O1303" i="2"/>
  <c r="N1303" i="2"/>
  <c r="J1303" i="2"/>
  <c r="H1303" i="2"/>
  <c r="G1303" i="2"/>
  <c r="C1303" i="2"/>
  <c r="O1302" i="2"/>
  <c r="N1302" i="2"/>
  <c r="J1302" i="2"/>
  <c r="H1302" i="2"/>
  <c r="G1302" i="2"/>
  <c r="C1302" i="2"/>
  <c r="O1301" i="2"/>
  <c r="N1301" i="2"/>
  <c r="J1301" i="2"/>
  <c r="H1301" i="2"/>
  <c r="G1301" i="2"/>
  <c r="C1301" i="2"/>
  <c r="O1300" i="2"/>
  <c r="J1300" i="2"/>
  <c r="H1300" i="2"/>
  <c r="G1300" i="2"/>
  <c r="C1300" i="2"/>
  <c r="O1299" i="2"/>
  <c r="N1299" i="2"/>
  <c r="J1299" i="2"/>
  <c r="H1299" i="2"/>
  <c r="G1299" i="2"/>
  <c r="C1299" i="2"/>
  <c r="O1298" i="2"/>
  <c r="N1298" i="2"/>
  <c r="J1298" i="2"/>
  <c r="H1298" i="2"/>
  <c r="G1298" i="2"/>
  <c r="C1298" i="2"/>
  <c r="O1297" i="2"/>
  <c r="N1297" i="2"/>
  <c r="J1297" i="2"/>
  <c r="H1297" i="2"/>
  <c r="G1297" i="2"/>
  <c r="C1297" i="2"/>
  <c r="O1296" i="2"/>
  <c r="N1296" i="2"/>
  <c r="J1296" i="2"/>
  <c r="H1296" i="2"/>
  <c r="G1296" i="2"/>
  <c r="C1296" i="2"/>
  <c r="O1295" i="2"/>
  <c r="N1295" i="2"/>
  <c r="J1295" i="2"/>
  <c r="H1295" i="2"/>
  <c r="G1295" i="2"/>
  <c r="C1295" i="2"/>
  <c r="O1294" i="2"/>
  <c r="N1294" i="2"/>
  <c r="J1294" i="2"/>
  <c r="H1294" i="2"/>
  <c r="G1294" i="2"/>
  <c r="C1294" i="2"/>
  <c r="O1293" i="2"/>
  <c r="N1293" i="2"/>
  <c r="J1293" i="2"/>
  <c r="H1293" i="2"/>
  <c r="G1293" i="2"/>
  <c r="C1293" i="2"/>
  <c r="O1292" i="2"/>
  <c r="N1292" i="2"/>
  <c r="J1292" i="2"/>
  <c r="H1292" i="2"/>
  <c r="G1292" i="2"/>
  <c r="C1292" i="2"/>
  <c r="O1291" i="2"/>
  <c r="N1291" i="2"/>
  <c r="J1291" i="2"/>
  <c r="H1291" i="2"/>
  <c r="G1291" i="2"/>
  <c r="C1291" i="2"/>
  <c r="O1290" i="2"/>
  <c r="N1290" i="2"/>
  <c r="J1290" i="2"/>
  <c r="H1290" i="2"/>
  <c r="G1290" i="2"/>
  <c r="C1290" i="2"/>
  <c r="O1289" i="2"/>
  <c r="N1289" i="2"/>
  <c r="J1289" i="2"/>
  <c r="H1289" i="2"/>
  <c r="G1289" i="2"/>
  <c r="C1289" i="2"/>
  <c r="O1288" i="2"/>
  <c r="N1288" i="2"/>
  <c r="J1288" i="2"/>
  <c r="H1288" i="2"/>
  <c r="G1288" i="2"/>
  <c r="C1288" i="2"/>
  <c r="O1287" i="2"/>
  <c r="N1287" i="2"/>
  <c r="J1287" i="2"/>
  <c r="H1287" i="2"/>
  <c r="G1287" i="2"/>
  <c r="C1287" i="2"/>
  <c r="O1286" i="2"/>
  <c r="N1286" i="2"/>
  <c r="J1286" i="2"/>
  <c r="H1286" i="2"/>
  <c r="G1286" i="2"/>
  <c r="C1286" i="2"/>
  <c r="O1285" i="2"/>
  <c r="N1285" i="2"/>
  <c r="J1285" i="2"/>
  <c r="H1285" i="2"/>
  <c r="G1285" i="2"/>
  <c r="C1285" i="2"/>
  <c r="O1284" i="2"/>
  <c r="N1284" i="2"/>
  <c r="J1284" i="2"/>
  <c r="H1284" i="2"/>
  <c r="G1284" i="2"/>
  <c r="C1284" i="2"/>
  <c r="O1283" i="2"/>
  <c r="N1283" i="2"/>
  <c r="J1283" i="2"/>
  <c r="H1283" i="2"/>
  <c r="G1283" i="2"/>
  <c r="C1283" i="2"/>
  <c r="O1282" i="2"/>
  <c r="N1282" i="2"/>
  <c r="J1282" i="2"/>
  <c r="H1282" i="2"/>
  <c r="G1282" i="2"/>
  <c r="C1282" i="2"/>
  <c r="O1281" i="2"/>
  <c r="N1281" i="2"/>
  <c r="J1281" i="2"/>
  <c r="H1281" i="2"/>
  <c r="G1281" i="2"/>
  <c r="C1281" i="2"/>
  <c r="O1280" i="2"/>
  <c r="N1280" i="2"/>
  <c r="J1280" i="2"/>
  <c r="H1280" i="2"/>
  <c r="G1280" i="2"/>
  <c r="C1280" i="2"/>
  <c r="O1279" i="2"/>
  <c r="N1279" i="2"/>
  <c r="J1279" i="2"/>
  <c r="H1279" i="2"/>
  <c r="G1279" i="2"/>
  <c r="C1279" i="2"/>
  <c r="O1278" i="2"/>
  <c r="N1278" i="2"/>
  <c r="J1278" i="2"/>
  <c r="H1278" i="2"/>
  <c r="G1278" i="2"/>
  <c r="C1278" i="2"/>
  <c r="O1277" i="2"/>
  <c r="N1277" i="2"/>
  <c r="J1277" i="2"/>
  <c r="H1277" i="2"/>
  <c r="G1277" i="2"/>
  <c r="C1277" i="2"/>
  <c r="O1276" i="2"/>
  <c r="N1276" i="2"/>
  <c r="J1276" i="2"/>
  <c r="H1276" i="2"/>
  <c r="G1276" i="2"/>
  <c r="C1276" i="2"/>
  <c r="O1275" i="2"/>
  <c r="N1275" i="2"/>
  <c r="J1275" i="2"/>
  <c r="H1275" i="2"/>
  <c r="G1275" i="2"/>
  <c r="C1275" i="2"/>
  <c r="O1274" i="2"/>
  <c r="N1274" i="2"/>
  <c r="J1274" i="2"/>
  <c r="H1274" i="2"/>
  <c r="G1274" i="2"/>
  <c r="C1274" i="2"/>
  <c r="O1273" i="2"/>
  <c r="N1273" i="2"/>
  <c r="J1273" i="2"/>
  <c r="H1273" i="2"/>
  <c r="G1273" i="2"/>
  <c r="C1273" i="2"/>
  <c r="O1272" i="2"/>
  <c r="N1272" i="2"/>
  <c r="J1272" i="2"/>
  <c r="H1272" i="2"/>
  <c r="G1272" i="2"/>
  <c r="C1272" i="2"/>
  <c r="O1271" i="2"/>
  <c r="J1271" i="2"/>
  <c r="H1271" i="2"/>
  <c r="G1271" i="2"/>
  <c r="C1271" i="2"/>
  <c r="O1270" i="2"/>
  <c r="N1270" i="2"/>
  <c r="J1270" i="2"/>
  <c r="H1270" i="2"/>
  <c r="G1270" i="2"/>
  <c r="C1270" i="2"/>
  <c r="O1269" i="2"/>
  <c r="N1269" i="2"/>
  <c r="J1269" i="2"/>
  <c r="H1269" i="2"/>
  <c r="G1269" i="2"/>
  <c r="C1269" i="2"/>
  <c r="O1268" i="2"/>
  <c r="N1268" i="2"/>
  <c r="J1268" i="2"/>
  <c r="H1268" i="2"/>
  <c r="G1268" i="2"/>
  <c r="C1268" i="2"/>
  <c r="O1267" i="2"/>
  <c r="N1267" i="2"/>
  <c r="J1267" i="2"/>
  <c r="H1267" i="2"/>
  <c r="G1267" i="2"/>
  <c r="C1267" i="2"/>
  <c r="O1266" i="2"/>
  <c r="N1266" i="2"/>
  <c r="J1266" i="2"/>
  <c r="H1266" i="2"/>
  <c r="G1266" i="2"/>
  <c r="C1266" i="2"/>
  <c r="O1265" i="2"/>
  <c r="N1265" i="2"/>
  <c r="J1265" i="2"/>
  <c r="H1265" i="2"/>
  <c r="G1265" i="2"/>
  <c r="C1265" i="2"/>
  <c r="O1264" i="2"/>
  <c r="N1264" i="2"/>
  <c r="J1264" i="2"/>
  <c r="H1264" i="2"/>
  <c r="G1264" i="2"/>
  <c r="C1264" i="2"/>
  <c r="O1263" i="2"/>
  <c r="N1263" i="2"/>
  <c r="J1263" i="2"/>
  <c r="H1263" i="2"/>
  <c r="G1263" i="2"/>
  <c r="C1263" i="2"/>
  <c r="O1262" i="2"/>
  <c r="J1262" i="2"/>
  <c r="H1262" i="2"/>
  <c r="G1262" i="2"/>
  <c r="C1262" i="2"/>
  <c r="O1261" i="2"/>
  <c r="N1261" i="2"/>
  <c r="J1261" i="2"/>
  <c r="H1261" i="2"/>
  <c r="G1261" i="2"/>
  <c r="C1261" i="2"/>
  <c r="O1260" i="2"/>
  <c r="N1260" i="2"/>
  <c r="J1260" i="2"/>
  <c r="H1260" i="2"/>
  <c r="G1260" i="2"/>
  <c r="C1260" i="2"/>
  <c r="O1259" i="2"/>
  <c r="N1259" i="2"/>
  <c r="J1259" i="2"/>
  <c r="H1259" i="2"/>
  <c r="G1259" i="2"/>
  <c r="C1259" i="2"/>
  <c r="O1258" i="2"/>
  <c r="N1258" i="2"/>
  <c r="J1258" i="2"/>
  <c r="H1258" i="2"/>
  <c r="G1258" i="2"/>
  <c r="C1258" i="2"/>
  <c r="O1257" i="2"/>
  <c r="N1257" i="2"/>
  <c r="J1257" i="2"/>
  <c r="H1257" i="2"/>
  <c r="G1257" i="2"/>
  <c r="C1257" i="2"/>
  <c r="O1256" i="2"/>
  <c r="N1256" i="2"/>
  <c r="J1256" i="2"/>
  <c r="H1256" i="2"/>
  <c r="G1256" i="2"/>
  <c r="C1256" i="2"/>
  <c r="O1255" i="2"/>
  <c r="N1255" i="2"/>
  <c r="J1255" i="2"/>
  <c r="H1255" i="2"/>
  <c r="G1255" i="2"/>
  <c r="C1255" i="2"/>
  <c r="O1254" i="2"/>
  <c r="N1254" i="2"/>
  <c r="J1254" i="2"/>
  <c r="H1254" i="2"/>
  <c r="G1254" i="2"/>
  <c r="C1254" i="2"/>
  <c r="O1253" i="2"/>
  <c r="N1253" i="2"/>
  <c r="J1253" i="2"/>
  <c r="H1253" i="2"/>
  <c r="G1253" i="2"/>
  <c r="C1253" i="2"/>
  <c r="O1252" i="2"/>
  <c r="N1252" i="2"/>
  <c r="J1252" i="2"/>
  <c r="H1252" i="2"/>
  <c r="G1252" i="2"/>
  <c r="C1252" i="2"/>
  <c r="O1251" i="2"/>
  <c r="N1251" i="2"/>
  <c r="J1251" i="2"/>
  <c r="H1251" i="2"/>
  <c r="G1251" i="2"/>
  <c r="C1251" i="2"/>
  <c r="O1250" i="2"/>
  <c r="N1250" i="2"/>
  <c r="J1250" i="2"/>
  <c r="H1250" i="2"/>
  <c r="G1250" i="2"/>
  <c r="C1250" i="2"/>
  <c r="O1249" i="2"/>
  <c r="J1249" i="2"/>
  <c r="H1249" i="2"/>
  <c r="G1249" i="2"/>
  <c r="C1249" i="2"/>
  <c r="O1248" i="2"/>
  <c r="N1248" i="2"/>
  <c r="J1248" i="2"/>
  <c r="H1248" i="2"/>
  <c r="G1248" i="2"/>
  <c r="C1248" i="2"/>
  <c r="O1247" i="2"/>
  <c r="N1247" i="2"/>
  <c r="J1247" i="2"/>
  <c r="H1247" i="2"/>
  <c r="G1247" i="2"/>
  <c r="C1247" i="2"/>
  <c r="O1246" i="2"/>
  <c r="N1246" i="2"/>
  <c r="J1246" i="2"/>
  <c r="H1246" i="2"/>
  <c r="G1246" i="2"/>
  <c r="C1246" i="2"/>
  <c r="O1245" i="2"/>
  <c r="N1245" i="2"/>
  <c r="J1245" i="2"/>
  <c r="H1245" i="2"/>
  <c r="G1245" i="2"/>
  <c r="C1245" i="2"/>
  <c r="O1244" i="2"/>
  <c r="J1244" i="2"/>
  <c r="H1244" i="2"/>
  <c r="G1244" i="2"/>
  <c r="C1244" i="2"/>
  <c r="O1243" i="2"/>
  <c r="N1243" i="2"/>
  <c r="J1243" i="2"/>
  <c r="H1243" i="2"/>
  <c r="G1243" i="2"/>
  <c r="C1243" i="2"/>
  <c r="O1242" i="2"/>
  <c r="J1242" i="2"/>
  <c r="H1242" i="2"/>
  <c r="G1242" i="2"/>
  <c r="C1242" i="2"/>
  <c r="O1241" i="2"/>
  <c r="N1241" i="2"/>
  <c r="J1241" i="2"/>
  <c r="H1241" i="2"/>
  <c r="G1241" i="2"/>
  <c r="C1241" i="2"/>
  <c r="O1240" i="2"/>
  <c r="N1240" i="2"/>
  <c r="J1240" i="2"/>
  <c r="H1240" i="2"/>
  <c r="G1240" i="2"/>
  <c r="C1240" i="2"/>
  <c r="O1239" i="2"/>
  <c r="N1239" i="2"/>
  <c r="J1239" i="2"/>
  <c r="H1239" i="2"/>
  <c r="G1239" i="2"/>
  <c r="C1239" i="2"/>
  <c r="O1238" i="2"/>
  <c r="N1238" i="2"/>
  <c r="J1238" i="2"/>
  <c r="H1238" i="2"/>
  <c r="G1238" i="2"/>
  <c r="C1238" i="2"/>
  <c r="O1237" i="2"/>
  <c r="J1237" i="2"/>
  <c r="H1237" i="2"/>
  <c r="G1237" i="2"/>
  <c r="C1237" i="2"/>
  <c r="O1236" i="2"/>
  <c r="N1236" i="2"/>
  <c r="J1236" i="2"/>
  <c r="H1236" i="2"/>
  <c r="G1236" i="2"/>
  <c r="C1236" i="2"/>
  <c r="O1235" i="2"/>
  <c r="N1235" i="2"/>
  <c r="J1235" i="2"/>
  <c r="H1235" i="2"/>
  <c r="G1235" i="2"/>
  <c r="C1235" i="2"/>
  <c r="O1234" i="2"/>
  <c r="N1234" i="2"/>
  <c r="J1234" i="2"/>
  <c r="H1234" i="2"/>
  <c r="G1234" i="2"/>
  <c r="C1234" i="2"/>
  <c r="O1233" i="2"/>
  <c r="J1233" i="2"/>
  <c r="H1233" i="2"/>
  <c r="G1233" i="2"/>
  <c r="C1233" i="2"/>
  <c r="O1232" i="2"/>
  <c r="N1232" i="2"/>
  <c r="J1232" i="2"/>
  <c r="H1232" i="2"/>
  <c r="G1232" i="2"/>
  <c r="C1232" i="2"/>
  <c r="J1231" i="2"/>
  <c r="H1231" i="2"/>
  <c r="G1231" i="2"/>
  <c r="C1231" i="2"/>
  <c r="O1230" i="2"/>
  <c r="N1230" i="2"/>
  <c r="J1230" i="2"/>
  <c r="H1230" i="2"/>
  <c r="G1230" i="2"/>
  <c r="C1230" i="2"/>
  <c r="O1229" i="2"/>
  <c r="N1229" i="2"/>
  <c r="J1229" i="2"/>
  <c r="H1229" i="2"/>
  <c r="G1229" i="2"/>
  <c r="C1229" i="2"/>
  <c r="O1228" i="2"/>
  <c r="N1228" i="2"/>
  <c r="J1228" i="2"/>
  <c r="H1228" i="2"/>
  <c r="G1228" i="2"/>
  <c r="C1228" i="2"/>
  <c r="O1227" i="2"/>
  <c r="N1227" i="2"/>
  <c r="J1227" i="2"/>
  <c r="H1227" i="2"/>
  <c r="G1227" i="2"/>
  <c r="C1227" i="2"/>
  <c r="O1226" i="2"/>
  <c r="N1226" i="2"/>
  <c r="J1226" i="2"/>
  <c r="H1226" i="2"/>
  <c r="G1226" i="2"/>
  <c r="C1226" i="2"/>
  <c r="O1225" i="2"/>
  <c r="N1225" i="2"/>
  <c r="J1225" i="2"/>
  <c r="H1225" i="2"/>
  <c r="G1225" i="2"/>
  <c r="C1225" i="2"/>
  <c r="O1224" i="2"/>
  <c r="N1224" i="2"/>
  <c r="J1224" i="2"/>
  <c r="H1224" i="2"/>
  <c r="G1224" i="2"/>
  <c r="C1224" i="2"/>
  <c r="O1223" i="2"/>
  <c r="N1223" i="2"/>
  <c r="J1223" i="2"/>
  <c r="H1223" i="2"/>
  <c r="G1223" i="2"/>
  <c r="C1223" i="2"/>
  <c r="O1222" i="2"/>
  <c r="N1222" i="2"/>
  <c r="J1222" i="2"/>
  <c r="H1222" i="2"/>
  <c r="G1222" i="2"/>
  <c r="C1222" i="2"/>
  <c r="O1221" i="2"/>
  <c r="N1221" i="2"/>
  <c r="J1221" i="2"/>
  <c r="H1221" i="2"/>
  <c r="G1221" i="2"/>
  <c r="C1221" i="2"/>
  <c r="O1220" i="2"/>
  <c r="N1220" i="2"/>
  <c r="J1220" i="2"/>
  <c r="H1220" i="2"/>
  <c r="G1220" i="2"/>
  <c r="C1220" i="2"/>
  <c r="O1219" i="2"/>
  <c r="N1219" i="2"/>
  <c r="J1219" i="2"/>
  <c r="H1219" i="2"/>
  <c r="G1219" i="2"/>
  <c r="C1219" i="2"/>
  <c r="O1218" i="2"/>
  <c r="N1218" i="2"/>
  <c r="J1218" i="2"/>
  <c r="H1218" i="2"/>
  <c r="G1218" i="2"/>
  <c r="C1218" i="2"/>
  <c r="O1217" i="2"/>
  <c r="N1217" i="2"/>
  <c r="J1217" i="2"/>
  <c r="H1217" i="2"/>
  <c r="G1217" i="2"/>
  <c r="C1217" i="2"/>
  <c r="O1216" i="2"/>
  <c r="N1216" i="2"/>
  <c r="J1216" i="2"/>
  <c r="H1216" i="2"/>
  <c r="G1216" i="2"/>
  <c r="C1216" i="2"/>
  <c r="O1215" i="2"/>
  <c r="N1215" i="2"/>
  <c r="J1215" i="2"/>
  <c r="H1215" i="2"/>
  <c r="G1215" i="2"/>
  <c r="C1215" i="2"/>
  <c r="O1214" i="2"/>
  <c r="N1214" i="2"/>
  <c r="J1214" i="2"/>
  <c r="H1214" i="2"/>
  <c r="G1214" i="2"/>
  <c r="C1214" i="2"/>
  <c r="O1213" i="2"/>
  <c r="N1213" i="2"/>
  <c r="J1213" i="2"/>
  <c r="H1213" i="2"/>
  <c r="G1213" i="2"/>
  <c r="C1213" i="2"/>
  <c r="O1212" i="2"/>
  <c r="N1212" i="2"/>
  <c r="J1212" i="2"/>
  <c r="H1212" i="2"/>
  <c r="G1212" i="2"/>
  <c r="C1212" i="2"/>
  <c r="O1211" i="2"/>
  <c r="N1211" i="2"/>
  <c r="J1211" i="2"/>
  <c r="H1211" i="2"/>
  <c r="G1211" i="2"/>
  <c r="C1211" i="2"/>
  <c r="O1210" i="2"/>
  <c r="N1210" i="2"/>
  <c r="J1210" i="2"/>
  <c r="H1210" i="2"/>
  <c r="G1210" i="2"/>
  <c r="C1210" i="2"/>
  <c r="O1209" i="2"/>
  <c r="N1209" i="2"/>
  <c r="J1209" i="2"/>
  <c r="H1209" i="2"/>
  <c r="G1209" i="2"/>
  <c r="C1209" i="2"/>
  <c r="O1208" i="2"/>
  <c r="N1208" i="2"/>
  <c r="J1208" i="2"/>
  <c r="H1208" i="2"/>
  <c r="G1208" i="2"/>
  <c r="C1208" i="2"/>
  <c r="O1207" i="2"/>
  <c r="N1207" i="2"/>
  <c r="J1207" i="2"/>
  <c r="H1207" i="2"/>
  <c r="G1207" i="2"/>
  <c r="C1207" i="2"/>
  <c r="O1206" i="2"/>
  <c r="N1206" i="2"/>
  <c r="J1206" i="2"/>
  <c r="H1206" i="2"/>
  <c r="G1206" i="2"/>
  <c r="C1206" i="2"/>
  <c r="O1205" i="2"/>
  <c r="N1205" i="2"/>
  <c r="J1205" i="2"/>
  <c r="H1205" i="2"/>
  <c r="G1205" i="2"/>
  <c r="C1205" i="2"/>
  <c r="O1204" i="2"/>
  <c r="N1204" i="2"/>
  <c r="J1204" i="2"/>
  <c r="H1204" i="2"/>
  <c r="G1204" i="2"/>
  <c r="C1204" i="2"/>
  <c r="O1203" i="2"/>
  <c r="N1203" i="2"/>
  <c r="J1203" i="2"/>
  <c r="H1203" i="2"/>
  <c r="G1203" i="2"/>
  <c r="C1203" i="2"/>
  <c r="O1202" i="2"/>
  <c r="N1202" i="2"/>
  <c r="J1202" i="2"/>
  <c r="H1202" i="2"/>
  <c r="G1202" i="2"/>
  <c r="C1202" i="2"/>
  <c r="O1201" i="2"/>
  <c r="N1201" i="2"/>
  <c r="J1201" i="2"/>
  <c r="H1201" i="2"/>
  <c r="G1201" i="2"/>
  <c r="C1201" i="2"/>
  <c r="O1200" i="2"/>
  <c r="N1200" i="2"/>
  <c r="J1200" i="2"/>
  <c r="H1200" i="2"/>
  <c r="G1200" i="2"/>
  <c r="C1200" i="2"/>
  <c r="O1199" i="2"/>
  <c r="N1199" i="2"/>
  <c r="J1199" i="2"/>
  <c r="H1199" i="2"/>
  <c r="G1199" i="2"/>
  <c r="C1199" i="2"/>
  <c r="O1198" i="2"/>
  <c r="N1198" i="2"/>
  <c r="J1198" i="2"/>
  <c r="H1198" i="2"/>
  <c r="G1198" i="2"/>
  <c r="C1198" i="2"/>
  <c r="O1197" i="2"/>
  <c r="N1197" i="2"/>
  <c r="J1197" i="2"/>
  <c r="H1197" i="2"/>
  <c r="G1197" i="2"/>
  <c r="C1197" i="2"/>
  <c r="O1196" i="2"/>
  <c r="N1196" i="2"/>
  <c r="J1196" i="2"/>
  <c r="H1196" i="2"/>
  <c r="G1196" i="2"/>
  <c r="C1196" i="2"/>
  <c r="O1195" i="2"/>
  <c r="N1195" i="2"/>
  <c r="J1195" i="2"/>
  <c r="H1195" i="2"/>
  <c r="G1195" i="2"/>
  <c r="C1195" i="2"/>
  <c r="O1194" i="2"/>
  <c r="N1194" i="2"/>
  <c r="J1194" i="2"/>
  <c r="H1194" i="2"/>
  <c r="G1194" i="2"/>
  <c r="C1194" i="2"/>
  <c r="O1193" i="2"/>
  <c r="N1193" i="2"/>
  <c r="J1193" i="2"/>
  <c r="H1193" i="2"/>
  <c r="G1193" i="2"/>
  <c r="C1193" i="2"/>
  <c r="O1192" i="2"/>
  <c r="N1192" i="2"/>
  <c r="J1192" i="2"/>
  <c r="H1192" i="2"/>
  <c r="G1192" i="2"/>
  <c r="C1192" i="2"/>
  <c r="O1191" i="2"/>
  <c r="N1191" i="2"/>
  <c r="J1191" i="2"/>
  <c r="H1191" i="2"/>
  <c r="G1191" i="2"/>
  <c r="C1191" i="2"/>
  <c r="O1190" i="2"/>
  <c r="N1190" i="2"/>
  <c r="J1190" i="2"/>
  <c r="H1190" i="2"/>
  <c r="G1190" i="2"/>
  <c r="C1190" i="2"/>
  <c r="O1189" i="2"/>
  <c r="N1189" i="2"/>
  <c r="J1189" i="2"/>
  <c r="H1189" i="2"/>
  <c r="G1189" i="2"/>
  <c r="C1189" i="2"/>
  <c r="O1188" i="2"/>
  <c r="N1188" i="2"/>
  <c r="J1188" i="2"/>
  <c r="H1188" i="2"/>
  <c r="G1188" i="2"/>
  <c r="C1188" i="2"/>
  <c r="O1187" i="2"/>
  <c r="N1187" i="2"/>
  <c r="J1187" i="2"/>
  <c r="H1187" i="2"/>
  <c r="G1187" i="2"/>
  <c r="C1187" i="2"/>
  <c r="O1186" i="2"/>
  <c r="N1186" i="2"/>
  <c r="J1186" i="2"/>
  <c r="H1186" i="2"/>
  <c r="G1186" i="2"/>
  <c r="C1186" i="2"/>
  <c r="O1185" i="2"/>
  <c r="N1185" i="2"/>
  <c r="J1185" i="2"/>
  <c r="H1185" i="2"/>
  <c r="G1185" i="2"/>
  <c r="C1185" i="2"/>
  <c r="O1184" i="2"/>
  <c r="N1184" i="2"/>
  <c r="J1184" i="2"/>
  <c r="H1184" i="2"/>
  <c r="G1184" i="2"/>
  <c r="C1184" i="2"/>
  <c r="O1183" i="2"/>
  <c r="J1183" i="2"/>
  <c r="H1183" i="2"/>
  <c r="G1183" i="2"/>
  <c r="C1183" i="2"/>
  <c r="O1182" i="2"/>
  <c r="N1182" i="2"/>
  <c r="J1182" i="2"/>
  <c r="H1182" i="2"/>
  <c r="G1182" i="2"/>
  <c r="C1182" i="2"/>
  <c r="O1181" i="2"/>
  <c r="N1181" i="2"/>
  <c r="J1181" i="2"/>
  <c r="H1181" i="2"/>
  <c r="G1181" i="2"/>
  <c r="C1181" i="2"/>
  <c r="O1180" i="2"/>
  <c r="N1180" i="2"/>
  <c r="J1180" i="2"/>
  <c r="H1180" i="2"/>
  <c r="G1180" i="2"/>
  <c r="C1180" i="2"/>
  <c r="O1179" i="2"/>
  <c r="N1179" i="2"/>
  <c r="J1179" i="2"/>
  <c r="H1179" i="2"/>
  <c r="G1179" i="2"/>
  <c r="C1179" i="2"/>
  <c r="O1178" i="2"/>
  <c r="N1178" i="2"/>
  <c r="J1178" i="2"/>
  <c r="H1178" i="2"/>
  <c r="G1178" i="2"/>
  <c r="C1178" i="2"/>
  <c r="O1177" i="2"/>
  <c r="N1177" i="2"/>
  <c r="J1177" i="2"/>
  <c r="H1177" i="2"/>
  <c r="G1177" i="2"/>
  <c r="C1177" i="2"/>
  <c r="O1176" i="2"/>
  <c r="N1176" i="2"/>
  <c r="J1176" i="2"/>
  <c r="H1176" i="2"/>
  <c r="G1176" i="2"/>
  <c r="C1176" i="2"/>
  <c r="O1175" i="2"/>
  <c r="N1175" i="2"/>
  <c r="J1175" i="2"/>
  <c r="H1175" i="2"/>
  <c r="G1175" i="2"/>
  <c r="C1175" i="2"/>
  <c r="O1174" i="2"/>
  <c r="N1174" i="2"/>
  <c r="J1174" i="2"/>
  <c r="H1174" i="2"/>
  <c r="G1174" i="2"/>
  <c r="C1174" i="2"/>
  <c r="O1173" i="2"/>
  <c r="N1173" i="2"/>
  <c r="J1173" i="2"/>
  <c r="H1173" i="2"/>
  <c r="G1173" i="2"/>
  <c r="C1173" i="2"/>
  <c r="O1172" i="2"/>
  <c r="N1172" i="2"/>
  <c r="J1172" i="2"/>
  <c r="H1172" i="2"/>
  <c r="G1172" i="2"/>
  <c r="C1172" i="2"/>
  <c r="O1171" i="2"/>
  <c r="N1171" i="2"/>
  <c r="J1171" i="2"/>
  <c r="H1171" i="2"/>
  <c r="G1171" i="2"/>
  <c r="C1171" i="2"/>
  <c r="O1170" i="2"/>
  <c r="N1170" i="2"/>
  <c r="J1170" i="2"/>
  <c r="H1170" i="2"/>
  <c r="G1170" i="2"/>
  <c r="C1170" i="2"/>
  <c r="O1169" i="2"/>
  <c r="N1169" i="2"/>
  <c r="J1169" i="2"/>
  <c r="H1169" i="2"/>
  <c r="G1169" i="2"/>
  <c r="C1169" i="2"/>
  <c r="O1168" i="2"/>
  <c r="N1168" i="2"/>
  <c r="J1168" i="2"/>
  <c r="H1168" i="2"/>
  <c r="G1168" i="2"/>
  <c r="C1168" i="2"/>
  <c r="O1167" i="2"/>
  <c r="N1167" i="2"/>
  <c r="J1167" i="2"/>
  <c r="H1167" i="2"/>
  <c r="G1167" i="2"/>
  <c r="C1167" i="2"/>
  <c r="O1166" i="2"/>
  <c r="N1166" i="2"/>
  <c r="J1166" i="2"/>
  <c r="H1166" i="2"/>
  <c r="G1166" i="2"/>
  <c r="C1166" i="2"/>
  <c r="O1165" i="2"/>
  <c r="N1165" i="2"/>
  <c r="J1165" i="2"/>
  <c r="H1165" i="2"/>
  <c r="G1165" i="2"/>
  <c r="C1165" i="2"/>
  <c r="O1164" i="2"/>
  <c r="N1164" i="2"/>
  <c r="J1164" i="2"/>
  <c r="H1164" i="2"/>
  <c r="G1164" i="2"/>
  <c r="C1164" i="2"/>
  <c r="O1163" i="2"/>
  <c r="N1163" i="2"/>
  <c r="J1163" i="2"/>
  <c r="H1163" i="2"/>
  <c r="G1163" i="2"/>
  <c r="C1163" i="2"/>
  <c r="O1162" i="2"/>
  <c r="N1162" i="2"/>
  <c r="J1162" i="2"/>
  <c r="H1162" i="2"/>
  <c r="G1162" i="2"/>
  <c r="C1162" i="2"/>
  <c r="O1161" i="2"/>
  <c r="N1161" i="2"/>
  <c r="J1161" i="2"/>
  <c r="H1161" i="2"/>
  <c r="G1161" i="2"/>
  <c r="C1161" i="2"/>
  <c r="O1160" i="2"/>
  <c r="N1160" i="2"/>
  <c r="J1160" i="2"/>
  <c r="H1160" i="2"/>
  <c r="G1160" i="2"/>
  <c r="C1160" i="2"/>
  <c r="O1158" i="2"/>
  <c r="N1158" i="2"/>
  <c r="J1158" i="2"/>
  <c r="H1158" i="2"/>
  <c r="G1158" i="2"/>
  <c r="C1158" i="2"/>
  <c r="O1157" i="2"/>
  <c r="N1157" i="2"/>
  <c r="J1157" i="2"/>
  <c r="H1157" i="2"/>
  <c r="G1157" i="2"/>
  <c r="C1157" i="2"/>
  <c r="N1155" i="2"/>
  <c r="H1155" i="2"/>
  <c r="G1155" i="2"/>
  <c r="C1155" i="2"/>
  <c r="O1154" i="2"/>
  <c r="N1154" i="2"/>
  <c r="J1154" i="2"/>
  <c r="H1154" i="2"/>
  <c r="G1154" i="2"/>
  <c r="C1154" i="2"/>
  <c r="O1153" i="2"/>
  <c r="N1153" i="2"/>
  <c r="J1153" i="2"/>
  <c r="H1153" i="2"/>
  <c r="G1153" i="2"/>
  <c r="C1153" i="2"/>
  <c r="O1152" i="2"/>
  <c r="N1152" i="2"/>
  <c r="J1152" i="2"/>
  <c r="H1152" i="2"/>
  <c r="G1152" i="2"/>
  <c r="C1152" i="2"/>
  <c r="O1151" i="2"/>
  <c r="N1151" i="2"/>
  <c r="J1151" i="2"/>
  <c r="H1151" i="2"/>
  <c r="G1151" i="2"/>
  <c r="C1151" i="2"/>
  <c r="O1150" i="2"/>
  <c r="N1150" i="2"/>
  <c r="J1150" i="2"/>
  <c r="H1150" i="2"/>
  <c r="G1150" i="2"/>
  <c r="C1150" i="2"/>
  <c r="O1149" i="2"/>
  <c r="N1149" i="2"/>
  <c r="J1149" i="2"/>
  <c r="H1149" i="2"/>
  <c r="G1149" i="2"/>
  <c r="C1149" i="2"/>
  <c r="O1148" i="2"/>
  <c r="N1148" i="2"/>
  <c r="J1148" i="2"/>
  <c r="H1148" i="2"/>
  <c r="G1148" i="2"/>
  <c r="C1148" i="2"/>
  <c r="O1147" i="2"/>
  <c r="N1147" i="2"/>
  <c r="J1147" i="2"/>
  <c r="H1147" i="2"/>
  <c r="G1147" i="2"/>
  <c r="C1147" i="2"/>
  <c r="O1146" i="2"/>
  <c r="N1146" i="2"/>
  <c r="J1146" i="2"/>
  <c r="H1146" i="2"/>
  <c r="G1146" i="2"/>
  <c r="C1146" i="2"/>
  <c r="O1145" i="2"/>
  <c r="N1145" i="2"/>
  <c r="J1145" i="2"/>
  <c r="H1145" i="2"/>
  <c r="G1145" i="2"/>
  <c r="C1145" i="2"/>
  <c r="O1144" i="2"/>
  <c r="N1144" i="2"/>
  <c r="J1144" i="2"/>
  <c r="H1144" i="2"/>
  <c r="G1144" i="2"/>
  <c r="C1144" i="2"/>
  <c r="O1143" i="2"/>
  <c r="N1143" i="2"/>
  <c r="J1143" i="2"/>
  <c r="H1143" i="2"/>
  <c r="G1143" i="2"/>
  <c r="C1143" i="2"/>
  <c r="O1142" i="2"/>
  <c r="N1142" i="2"/>
  <c r="J1142" i="2"/>
  <c r="H1142" i="2"/>
  <c r="G1142" i="2"/>
  <c r="C1142" i="2"/>
  <c r="O1141" i="2"/>
  <c r="N1141" i="2"/>
  <c r="J1141" i="2"/>
  <c r="H1141" i="2"/>
  <c r="G1141" i="2"/>
  <c r="C1141" i="2"/>
  <c r="O1140" i="2"/>
  <c r="N1140" i="2"/>
  <c r="J1140" i="2"/>
  <c r="H1140" i="2"/>
  <c r="G1140" i="2"/>
  <c r="C1140" i="2"/>
  <c r="O1139" i="2"/>
  <c r="N1139" i="2"/>
  <c r="J1139" i="2"/>
  <c r="H1139" i="2"/>
  <c r="G1139" i="2"/>
  <c r="C1139" i="2"/>
  <c r="O1138" i="2"/>
  <c r="N1138" i="2"/>
  <c r="J1138" i="2"/>
  <c r="H1138" i="2"/>
  <c r="G1138" i="2"/>
  <c r="C1138" i="2"/>
  <c r="O1137" i="2"/>
  <c r="N1137" i="2"/>
  <c r="J1137" i="2"/>
  <c r="H1137" i="2"/>
  <c r="G1137" i="2"/>
  <c r="C1137" i="2"/>
  <c r="O1136" i="2"/>
  <c r="N1136" i="2"/>
  <c r="J1136" i="2"/>
  <c r="H1136" i="2"/>
  <c r="G1136" i="2"/>
  <c r="C1136" i="2"/>
  <c r="O1135" i="2"/>
  <c r="N1135" i="2"/>
  <c r="J1135" i="2"/>
  <c r="H1135" i="2"/>
  <c r="G1135" i="2"/>
  <c r="C1135" i="2"/>
  <c r="O1134" i="2"/>
  <c r="N1134" i="2"/>
  <c r="J1134" i="2"/>
  <c r="H1134" i="2"/>
  <c r="G1134" i="2"/>
  <c r="C1134" i="2"/>
  <c r="O1133" i="2"/>
  <c r="N1133" i="2"/>
  <c r="J1133" i="2"/>
  <c r="H1133" i="2"/>
  <c r="G1133" i="2"/>
  <c r="C1133" i="2"/>
  <c r="O1132" i="2"/>
  <c r="J1132" i="2"/>
  <c r="H1132" i="2"/>
  <c r="G1132" i="2"/>
  <c r="C1132" i="2"/>
  <c r="O1131" i="2"/>
  <c r="N1131" i="2"/>
  <c r="J1131" i="2"/>
  <c r="H1131" i="2"/>
  <c r="G1131" i="2"/>
  <c r="C1131" i="2"/>
  <c r="O1130" i="2"/>
  <c r="N1130" i="2"/>
  <c r="J1130" i="2"/>
  <c r="H1130" i="2"/>
  <c r="G1130" i="2"/>
  <c r="C1130" i="2"/>
  <c r="O1129" i="2"/>
  <c r="N1129" i="2"/>
  <c r="J1129" i="2"/>
  <c r="H1129" i="2"/>
  <c r="G1129" i="2"/>
  <c r="C1129" i="2"/>
  <c r="O1128" i="2"/>
  <c r="N1128" i="2"/>
  <c r="J1128" i="2"/>
  <c r="H1128" i="2"/>
  <c r="G1128" i="2"/>
  <c r="C1128" i="2"/>
  <c r="O1127" i="2"/>
  <c r="N1127" i="2"/>
  <c r="J1127" i="2"/>
  <c r="H1127" i="2"/>
  <c r="G1127" i="2"/>
  <c r="C1127" i="2"/>
  <c r="O1126" i="2"/>
  <c r="N1126" i="2"/>
  <c r="J1126" i="2"/>
  <c r="H1126" i="2"/>
  <c r="G1126" i="2"/>
  <c r="C1126" i="2"/>
  <c r="O1125" i="2"/>
  <c r="N1125" i="2"/>
  <c r="J1125" i="2"/>
  <c r="H1125" i="2"/>
  <c r="G1125" i="2"/>
  <c r="C1125" i="2"/>
  <c r="O1124" i="2"/>
  <c r="N1124" i="2"/>
  <c r="J1124" i="2"/>
  <c r="H1124" i="2"/>
  <c r="G1124" i="2"/>
  <c r="C1124" i="2"/>
  <c r="O1123" i="2"/>
  <c r="N1123" i="2"/>
  <c r="J1123" i="2"/>
  <c r="H1123" i="2"/>
  <c r="G1123" i="2"/>
  <c r="C1123" i="2"/>
  <c r="O1122" i="2"/>
  <c r="N1122" i="2"/>
  <c r="J1122" i="2"/>
  <c r="H1122" i="2"/>
  <c r="G1122" i="2"/>
  <c r="C1122" i="2"/>
  <c r="O1121" i="2"/>
  <c r="N1121" i="2"/>
  <c r="J1121" i="2"/>
  <c r="H1121" i="2"/>
  <c r="G1121" i="2"/>
  <c r="C1121" i="2"/>
  <c r="O1120" i="2"/>
  <c r="J1120" i="2"/>
  <c r="H1120" i="2"/>
  <c r="G1120" i="2"/>
  <c r="C1120" i="2"/>
  <c r="O1119" i="2"/>
  <c r="N1119" i="2"/>
  <c r="J1119" i="2"/>
  <c r="H1119" i="2"/>
  <c r="G1119" i="2"/>
  <c r="C1119" i="2"/>
  <c r="O1118" i="2"/>
  <c r="N1118" i="2"/>
  <c r="J1118" i="2"/>
  <c r="H1118" i="2"/>
  <c r="G1118" i="2"/>
  <c r="C1118" i="2"/>
  <c r="O1117" i="2"/>
  <c r="N1117" i="2"/>
  <c r="J1117" i="2"/>
  <c r="H1117" i="2"/>
  <c r="G1117" i="2"/>
  <c r="C1117" i="2"/>
  <c r="O1116" i="2"/>
  <c r="N1116" i="2"/>
  <c r="J1116" i="2"/>
  <c r="H1116" i="2"/>
  <c r="G1116" i="2"/>
  <c r="C1116" i="2"/>
  <c r="O1115" i="2"/>
  <c r="N1115" i="2"/>
  <c r="J1115" i="2"/>
  <c r="H1115" i="2"/>
  <c r="G1115" i="2"/>
  <c r="C1115" i="2"/>
  <c r="O1114" i="2"/>
  <c r="N1114" i="2"/>
  <c r="J1114" i="2"/>
  <c r="H1114" i="2"/>
  <c r="G1114" i="2"/>
  <c r="C1114" i="2"/>
  <c r="O1113" i="2"/>
  <c r="N1113" i="2"/>
  <c r="J1113" i="2"/>
  <c r="H1113" i="2"/>
  <c r="G1113" i="2"/>
  <c r="C1113" i="2"/>
  <c r="O1112" i="2"/>
  <c r="N1112" i="2"/>
  <c r="J1112" i="2"/>
  <c r="H1112" i="2"/>
  <c r="G1112" i="2"/>
  <c r="C1112" i="2"/>
  <c r="O1111" i="2"/>
  <c r="N1111" i="2"/>
  <c r="J1111" i="2"/>
  <c r="H1111" i="2"/>
  <c r="G1111" i="2"/>
  <c r="C1111" i="2"/>
  <c r="O1110" i="2"/>
  <c r="N1110" i="2"/>
  <c r="J1110" i="2"/>
  <c r="H1110" i="2"/>
  <c r="G1110" i="2"/>
  <c r="C1110" i="2"/>
  <c r="O1109" i="2"/>
  <c r="N1109" i="2"/>
  <c r="J1109" i="2"/>
  <c r="H1109" i="2"/>
  <c r="G1109" i="2"/>
  <c r="C1109" i="2"/>
  <c r="O1108" i="2"/>
  <c r="N1108" i="2"/>
  <c r="J1108" i="2"/>
  <c r="H1108" i="2"/>
  <c r="G1108" i="2"/>
  <c r="C1108" i="2"/>
  <c r="O1107" i="2"/>
  <c r="N1107" i="2"/>
  <c r="J1107" i="2"/>
  <c r="H1107" i="2"/>
  <c r="G1107" i="2"/>
  <c r="C1107" i="2"/>
  <c r="O1106" i="2"/>
  <c r="N1106" i="2"/>
  <c r="J1106" i="2"/>
  <c r="H1106" i="2"/>
  <c r="G1106" i="2"/>
  <c r="C1106" i="2"/>
  <c r="O1105" i="2"/>
  <c r="N1105" i="2"/>
  <c r="J1105" i="2"/>
  <c r="H1105" i="2"/>
  <c r="G1105" i="2"/>
  <c r="C1105" i="2"/>
  <c r="O1104" i="2"/>
  <c r="N1104" i="2"/>
  <c r="J1104" i="2"/>
  <c r="H1104" i="2"/>
  <c r="G1104" i="2"/>
  <c r="C1104" i="2"/>
  <c r="O1103" i="2"/>
  <c r="N1103" i="2"/>
  <c r="J1103" i="2"/>
  <c r="H1103" i="2"/>
  <c r="G1103" i="2"/>
  <c r="C1103" i="2"/>
  <c r="O1102" i="2"/>
  <c r="N1102" i="2"/>
  <c r="J1102" i="2"/>
  <c r="H1102" i="2"/>
  <c r="G1102" i="2"/>
  <c r="C1102" i="2"/>
  <c r="O1101" i="2"/>
  <c r="N1101" i="2"/>
  <c r="J1101" i="2"/>
  <c r="H1101" i="2"/>
  <c r="G1101" i="2"/>
  <c r="C1101" i="2"/>
  <c r="O1100" i="2"/>
  <c r="N1100" i="2"/>
  <c r="J1100" i="2"/>
  <c r="H1100" i="2"/>
  <c r="G1100" i="2"/>
  <c r="C1100" i="2"/>
  <c r="O1099" i="2"/>
  <c r="N1099" i="2"/>
  <c r="J1099" i="2"/>
  <c r="H1099" i="2"/>
  <c r="G1099" i="2"/>
  <c r="C1099" i="2"/>
  <c r="O1098" i="2"/>
  <c r="N1098" i="2"/>
  <c r="J1098" i="2"/>
  <c r="H1098" i="2"/>
  <c r="G1098" i="2"/>
  <c r="C1098" i="2"/>
  <c r="O1097" i="2"/>
  <c r="J1097" i="2"/>
  <c r="H1097" i="2"/>
  <c r="G1097" i="2"/>
  <c r="C1097" i="2"/>
  <c r="O1096" i="2"/>
  <c r="N1096" i="2"/>
  <c r="J1096" i="2"/>
  <c r="H1096" i="2"/>
  <c r="G1096" i="2"/>
  <c r="C1096" i="2"/>
  <c r="O1095" i="2"/>
  <c r="N1095" i="2"/>
  <c r="J1095" i="2"/>
  <c r="H1095" i="2"/>
  <c r="G1095" i="2"/>
  <c r="C1095" i="2"/>
  <c r="O1094" i="2"/>
  <c r="N1094" i="2"/>
  <c r="J1094" i="2"/>
  <c r="H1094" i="2"/>
  <c r="G1094" i="2"/>
  <c r="C1094" i="2"/>
  <c r="O1093" i="2"/>
  <c r="N1093" i="2"/>
  <c r="J1093" i="2"/>
  <c r="H1093" i="2"/>
  <c r="G1093" i="2"/>
  <c r="C1093" i="2"/>
  <c r="O1092" i="2"/>
  <c r="N1092" i="2"/>
  <c r="J1092" i="2"/>
  <c r="H1092" i="2"/>
  <c r="G1092" i="2"/>
  <c r="C1092" i="2"/>
  <c r="O1091" i="2"/>
  <c r="N1091" i="2"/>
  <c r="J1091" i="2"/>
  <c r="H1091" i="2"/>
  <c r="G1091" i="2"/>
  <c r="C1091" i="2"/>
  <c r="O1090" i="2"/>
  <c r="N1090" i="2"/>
  <c r="J1090" i="2"/>
  <c r="H1090" i="2"/>
  <c r="G1090" i="2"/>
  <c r="C1090" i="2"/>
  <c r="O1089" i="2"/>
  <c r="N1089" i="2"/>
  <c r="J1089" i="2"/>
  <c r="H1089" i="2"/>
  <c r="G1089" i="2"/>
  <c r="C1089" i="2"/>
  <c r="O1088" i="2"/>
  <c r="N1088" i="2"/>
  <c r="J1088" i="2"/>
  <c r="H1088" i="2"/>
  <c r="G1088" i="2"/>
  <c r="C1088" i="2"/>
  <c r="O1087" i="2"/>
  <c r="N1087" i="2"/>
  <c r="J1087" i="2"/>
  <c r="H1087" i="2"/>
  <c r="G1087" i="2"/>
  <c r="C1087" i="2"/>
  <c r="O1086" i="2"/>
  <c r="N1086" i="2"/>
  <c r="J1086" i="2"/>
  <c r="H1086" i="2"/>
  <c r="G1086" i="2"/>
  <c r="C1086" i="2"/>
  <c r="O1085" i="2"/>
  <c r="N1085" i="2"/>
  <c r="J1085" i="2"/>
  <c r="H1085" i="2"/>
  <c r="G1085" i="2"/>
  <c r="C1085" i="2"/>
  <c r="O1084" i="2"/>
  <c r="N1084" i="2"/>
  <c r="J1084" i="2"/>
  <c r="H1084" i="2"/>
  <c r="G1084" i="2"/>
  <c r="C1084" i="2"/>
  <c r="O1083" i="2"/>
  <c r="N1083" i="2"/>
  <c r="J1083" i="2"/>
  <c r="H1083" i="2"/>
  <c r="G1083" i="2"/>
  <c r="C1083" i="2"/>
  <c r="O1082" i="2"/>
  <c r="J1082" i="2"/>
  <c r="H1082" i="2"/>
  <c r="G1082" i="2"/>
  <c r="C1082" i="2"/>
  <c r="O1081" i="2"/>
  <c r="N1081" i="2"/>
  <c r="J1081" i="2"/>
  <c r="H1081" i="2"/>
  <c r="G1081" i="2"/>
  <c r="C1081" i="2"/>
  <c r="O1080" i="2"/>
  <c r="N1080" i="2"/>
  <c r="J1080" i="2"/>
  <c r="H1080" i="2"/>
  <c r="G1080" i="2"/>
  <c r="C1080" i="2"/>
  <c r="O1079" i="2"/>
  <c r="J1079" i="2"/>
  <c r="H1079" i="2"/>
  <c r="G1079" i="2"/>
  <c r="C1079" i="2"/>
  <c r="O1078" i="2"/>
  <c r="N1078" i="2"/>
  <c r="J1078" i="2"/>
  <c r="H1078" i="2"/>
  <c r="G1078" i="2"/>
  <c r="C1078" i="2"/>
  <c r="O1077" i="2"/>
  <c r="N1077" i="2"/>
  <c r="J1077" i="2"/>
  <c r="H1077" i="2"/>
  <c r="G1077" i="2"/>
  <c r="C1077" i="2"/>
  <c r="O1076" i="2"/>
  <c r="N1076" i="2"/>
  <c r="J1076" i="2"/>
  <c r="H1076" i="2"/>
  <c r="G1076" i="2"/>
  <c r="C1076" i="2"/>
  <c r="O1075" i="2"/>
  <c r="N1075" i="2"/>
  <c r="J1075" i="2"/>
  <c r="H1075" i="2"/>
  <c r="G1075" i="2"/>
  <c r="C1075" i="2"/>
  <c r="O1074" i="2"/>
  <c r="N1074" i="2"/>
  <c r="J1074" i="2"/>
  <c r="H1074" i="2"/>
  <c r="G1074" i="2"/>
  <c r="C1074" i="2"/>
  <c r="O1073" i="2"/>
  <c r="N1073" i="2"/>
  <c r="J1073" i="2"/>
  <c r="H1073" i="2"/>
  <c r="G1073" i="2"/>
  <c r="C1073" i="2"/>
  <c r="O1072" i="2"/>
  <c r="N1072" i="2"/>
  <c r="J1072" i="2"/>
  <c r="H1072" i="2"/>
  <c r="G1072" i="2"/>
  <c r="C1072" i="2"/>
  <c r="O1071" i="2"/>
  <c r="J1071" i="2"/>
  <c r="H1071" i="2"/>
  <c r="G1071" i="2"/>
  <c r="C1071" i="2"/>
  <c r="O1070" i="2"/>
  <c r="N1070" i="2"/>
  <c r="J1070" i="2"/>
  <c r="H1070" i="2"/>
  <c r="G1070" i="2"/>
  <c r="C1070" i="2"/>
  <c r="O1069" i="2"/>
  <c r="N1069" i="2"/>
  <c r="J1069" i="2"/>
  <c r="H1069" i="2"/>
  <c r="G1069" i="2"/>
  <c r="C1069" i="2"/>
  <c r="O1068" i="2"/>
  <c r="N1068" i="2"/>
  <c r="J1068" i="2"/>
  <c r="H1068" i="2"/>
  <c r="G1068" i="2"/>
  <c r="C1068" i="2"/>
  <c r="O1067" i="2"/>
  <c r="N1067" i="2"/>
  <c r="J1067" i="2"/>
  <c r="H1067" i="2"/>
  <c r="G1067" i="2"/>
  <c r="C1067" i="2"/>
  <c r="O1066" i="2"/>
  <c r="N1066" i="2"/>
  <c r="J1066" i="2"/>
  <c r="H1066" i="2"/>
  <c r="G1066" i="2"/>
  <c r="C1066" i="2"/>
  <c r="O1065" i="2"/>
  <c r="N1065" i="2"/>
  <c r="J1065" i="2"/>
  <c r="H1065" i="2"/>
  <c r="G1065" i="2"/>
  <c r="C1065" i="2"/>
  <c r="O1064" i="2"/>
  <c r="N1064" i="2"/>
  <c r="J1064" i="2"/>
  <c r="H1064" i="2"/>
  <c r="G1064" i="2"/>
  <c r="C1064" i="2"/>
  <c r="O1063" i="2"/>
  <c r="N1063" i="2"/>
  <c r="J1063" i="2"/>
  <c r="H1063" i="2"/>
  <c r="G1063" i="2"/>
  <c r="C1063" i="2"/>
  <c r="O1062" i="2"/>
  <c r="N1062" i="2"/>
  <c r="J1062" i="2"/>
  <c r="H1062" i="2"/>
  <c r="G1062" i="2"/>
  <c r="C1062" i="2"/>
  <c r="O1061" i="2"/>
  <c r="N1061" i="2"/>
  <c r="J1061" i="2"/>
  <c r="H1061" i="2"/>
  <c r="G1061" i="2"/>
  <c r="C1061" i="2"/>
  <c r="O1060" i="2"/>
  <c r="N1060" i="2"/>
  <c r="J1060" i="2"/>
  <c r="H1060" i="2"/>
  <c r="G1060" i="2"/>
  <c r="C1060" i="2"/>
  <c r="O1059" i="2"/>
  <c r="N1059" i="2"/>
  <c r="J1059" i="2"/>
  <c r="H1059" i="2"/>
  <c r="G1059" i="2"/>
  <c r="C1059" i="2"/>
  <c r="O1058" i="2"/>
  <c r="N1058" i="2"/>
  <c r="J1058" i="2"/>
  <c r="H1058" i="2"/>
  <c r="G1058" i="2"/>
  <c r="C1058" i="2"/>
  <c r="O1057" i="2"/>
  <c r="N1057" i="2"/>
  <c r="J1057" i="2"/>
  <c r="H1057" i="2"/>
  <c r="G1057" i="2"/>
  <c r="C1057" i="2"/>
  <c r="O1056" i="2"/>
  <c r="N1056" i="2"/>
  <c r="J1056" i="2"/>
  <c r="H1056" i="2"/>
  <c r="G1056" i="2"/>
  <c r="C1056" i="2"/>
  <c r="O1055" i="2"/>
  <c r="N1055" i="2"/>
  <c r="J1055" i="2"/>
  <c r="H1055" i="2"/>
  <c r="G1055" i="2"/>
  <c r="C1055" i="2"/>
  <c r="O1054" i="2"/>
  <c r="N1054" i="2"/>
  <c r="J1054" i="2"/>
  <c r="H1054" i="2"/>
  <c r="G1054" i="2"/>
  <c r="C1054" i="2"/>
  <c r="O1053" i="2"/>
  <c r="N1053" i="2"/>
  <c r="J1053" i="2"/>
  <c r="H1053" i="2"/>
  <c r="G1053" i="2"/>
  <c r="C1053" i="2"/>
  <c r="O1052" i="2"/>
  <c r="N1052" i="2"/>
  <c r="J1052" i="2"/>
  <c r="H1052" i="2"/>
  <c r="G1052" i="2"/>
  <c r="C1052" i="2"/>
  <c r="O1051" i="2"/>
  <c r="N1051" i="2"/>
  <c r="J1051" i="2"/>
  <c r="H1051" i="2"/>
  <c r="G1051" i="2"/>
  <c r="C1051" i="2"/>
  <c r="O1050" i="2"/>
  <c r="N1050" i="2"/>
  <c r="J1050" i="2"/>
  <c r="H1050" i="2"/>
  <c r="G1050" i="2"/>
  <c r="C1050" i="2"/>
  <c r="O1049" i="2"/>
  <c r="N1049" i="2"/>
  <c r="J1049" i="2"/>
  <c r="H1049" i="2"/>
  <c r="G1049" i="2"/>
  <c r="C1049" i="2"/>
  <c r="O1048" i="2"/>
  <c r="N1048" i="2"/>
  <c r="J1048" i="2"/>
  <c r="H1048" i="2"/>
  <c r="G1048" i="2"/>
  <c r="C1048" i="2"/>
  <c r="O1047" i="2"/>
  <c r="N1047" i="2"/>
  <c r="J1047" i="2"/>
  <c r="H1047" i="2"/>
  <c r="G1047" i="2"/>
  <c r="C1047" i="2"/>
  <c r="O1046" i="2"/>
  <c r="N1046" i="2"/>
  <c r="J1046" i="2"/>
  <c r="H1046" i="2"/>
  <c r="G1046" i="2"/>
  <c r="C1046" i="2"/>
  <c r="O1045" i="2"/>
  <c r="N1045" i="2"/>
  <c r="J1045" i="2"/>
  <c r="H1045" i="2"/>
  <c r="G1045" i="2"/>
  <c r="C1045" i="2"/>
  <c r="O1044" i="2"/>
  <c r="N1044" i="2"/>
  <c r="J1044" i="2"/>
  <c r="H1044" i="2"/>
  <c r="G1044" i="2"/>
  <c r="C1044" i="2"/>
  <c r="O1043" i="2"/>
  <c r="N1043" i="2"/>
  <c r="J1043" i="2"/>
  <c r="H1043" i="2"/>
  <c r="G1043" i="2"/>
  <c r="C1043" i="2"/>
  <c r="O1042" i="2"/>
  <c r="N1042" i="2"/>
  <c r="J1042" i="2"/>
  <c r="H1042" i="2"/>
  <c r="G1042" i="2"/>
  <c r="C1042" i="2"/>
  <c r="O1041" i="2"/>
  <c r="N1041" i="2"/>
  <c r="J1041" i="2"/>
  <c r="H1041" i="2"/>
  <c r="G1041" i="2"/>
  <c r="C1041" i="2"/>
  <c r="O1040" i="2"/>
  <c r="N1040" i="2"/>
  <c r="J1040" i="2"/>
  <c r="H1040" i="2"/>
  <c r="G1040" i="2"/>
  <c r="C1040" i="2"/>
  <c r="O1039" i="2"/>
  <c r="N1039" i="2"/>
  <c r="J1039" i="2"/>
  <c r="H1039" i="2"/>
  <c r="G1039" i="2"/>
  <c r="C1039" i="2"/>
  <c r="O1038" i="2"/>
  <c r="N1038" i="2"/>
  <c r="J1038" i="2"/>
  <c r="H1038" i="2"/>
  <c r="G1038" i="2"/>
  <c r="C1038" i="2"/>
  <c r="O1037" i="2"/>
  <c r="N1037" i="2"/>
  <c r="J1037" i="2"/>
  <c r="H1037" i="2"/>
  <c r="G1037" i="2"/>
  <c r="C1037" i="2"/>
  <c r="O1036" i="2"/>
  <c r="N1036" i="2"/>
  <c r="J1036" i="2"/>
  <c r="H1036" i="2"/>
  <c r="G1036" i="2"/>
  <c r="C1036" i="2"/>
  <c r="O1035" i="2"/>
  <c r="N1035" i="2"/>
  <c r="J1035" i="2"/>
  <c r="H1035" i="2"/>
  <c r="G1035" i="2"/>
  <c r="C1035" i="2"/>
  <c r="O1034" i="2"/>
  <c r="N1034" i="2"/>
  <c r="J1034" i="2"/>
  <c r="H1034" i="2"/>
  <c r="G1034" i="2"/>
  <c r="C1034" i="2"/>
  <c r="O1033" i="2"/>
  <c r="N1033" i="2"/>
  <c r="J1033" i="2"/>
  <c r="H1033" i="2"/>
  <c r="G1033" i="2"/>
  <c r="C1033" i="2"/>
  <c r="O1032" i="2"/>
  <c r="N1032" i="2"/>
  <c r="J1032" i="2"/>
  <c r="H1032" i="2"/>
  <c r="G1032" i="2"/>
  <c r="C1032" i="2"/>
  <c r="O1031" i="2"/>
  <c r="N1031" i="2"/>
  <c r="J1031" i="2"/>
  <c r="H1031" i="2"/>
  <c r="G1031" i="2"/>
  <c r="C1031" i="2"/>
  <c r="O1030" i="2"/>
  <c r="N1030" i="2"/>
  <c r="J1030" i="2"/>
  <c r="H1030" i="2"/>
  <c r="G1030" i="2"/>
  <c r="C1030" i="2"/>
  <c r="O1029" i="2"/>
  <c r="N1029" i="2"/>
  <c r="J1029" i="2"/>
  <c r="H1029" i="2"/>
  <c r="G1029" i="2"/>
  <c r="C1029" i="2"/>
  <c r="O1028" i="2"/>
  <c r="N1028" i="2"/>
  <c r="J1028" i="2"/>
  <c r="H1028" i="2"/>
  <c r="G1028" i="2"/>
  <c r="C1028" i="2"/>
  <c r="O1027" i="2"/>
  <c r="N1027" i="2"/>
  <c r="J1027" i="2"/>
  <c r="H1027" i="2"/>
  <c r="G1027" i="2"/>
  <c r="C1027" i="2"/>
  <c r="O1026" i="2"/>
  <c r="N1026" i="2"/>
  <c r="J1026" i="2"/>
  <c r="H1026" i="2"/>
  <c r="G1026" i="2"/>
  <c r="C1026" i="2"/>
  <c r="O1025" i="2"/>
  <c r="N1025" i="2"/>
  <c r="J1025" i="2"/>
  <c r="H1025" i="2"/>
  <c r="G1025" i="2"/>
  <c r="C1025" i="2"/>
  <c r="O1024" i="2"/>
  <c r="N1024" i="2"/>
  <c r="J1024" i="2"/>
  <c r="H1024" i="2"/>
  <c r="G1024" i="2"/>
  <c r="C1024" i="2"/>
  <c r="O1023" i="2"/>
  <c r="N1023" i="2"/>
  <c r="J1023" i="2"/>
  <c r="H1023" i="2"/>
  <c r="G1023" i="2"/>
  <c r="C1023" i="2"/>
  <c r="O1022" i="2"/>
  <c r="N1022" i="2"/>
  <c r="J1022" i="2"/>
  <c r="H1022" i="2"/>
  <c r="G1022" i="2"/>
  <c r="C1022" i="2"/>
  <c r="O1021" i="2"/>
  <c r="N1021" i="2"/>
  <c r="J1021" i="2"/>
  <c r="H1021" i="2"/>
  <c r="G1021" i="2"/>
  <c r="C1021" i="2"/>
  <c r="O1020" i="2"/>
  <c r="N1020" i="2"/>
  <c r="J1020" i="2"/>
  <c r="H1020" i="2"/>
  <c r="G1020" i="2"/>
  <c r="C1020" i="2"/>
  <c r="O1019" i="2"/>
  <c r="N1019" i="2"/>
  <c r="J1019" i="2"/>
  <c r="H1019" i="2"/>
  <c r="G1019" i="2"/>
  <c r="C1019" i="2"/>
  <c r="O1018" i="2"/>
  <c r="N1018" i="2"/>
  <c r="J1018" i="2"/>
  <c r="H1018" i="2"/>
  <c r="G1018" i="2"/>
  <c r="C1018" i="2"/>
  <c r="O1017" i="2"/>
  <c r="N1017" i="2"/>
  <c r="J1017" i="2"/>
  <c r="H1017" i="2"/>
  <c r="G1017" i="2"/>
  <c r="C1017" i="2"/>
  <c r="O1016" i="2"/>
  <c r="N1016" i="2"/>
  <c r="J1016" i="2"/>
  <c r="H1016" i="2"/>
  <c r="G1016" i="2"/>
  <c r="C1016" i="2"/>
  <c r="O1015" i="2"/>
  <c r="N1015" i="2"/>
  <c r="J1015" i="2"/>
  <c r="H1015" i="2"/>
  <c r="G1015" i="2"/>
  <c r="C1015" i="2"/>
  <c r="O1014" i="2"/>
  <c r="N1014" i="2"/>
  <c r="J1014" i="2"/>
  <c r="H1014" i="2"/>
  <c r="G1014" i="2"/>
  <c r="C1014" i="2"/>
  <c r="O1013" i="2"/>
  <c r="N1013" i="2"/>
  <c r="J1013" i="2"/>
  <c r="H1013" i="2"/>
  <c r="G1013" i="2"/>
  <c r="C1013" i="2"/>
  <c r="O1012" i="2"/>
  <c r="N1012" i="2"/>
  <c r="J1012" i="2"/>
  <c r="H1012" i="2"/>
  <c r="G1012" i="2"/>
  <c r="C1012" i="2"/>
  <c r="O1011" i="2"/>
  <c r="N1011" i="2"/>
  <c r="J1011" i="2"/>
  <c r="H1011" i="2"/>
  <c r="G1011" i="2"/>
  <c r="C1011" i="2"/>
  <c r="O1010" i="2"/>
  <c r="N1010" i="2"/>
  <c r="J1010" i="2"/>
  <c r="H1010" i="2"/>
  <c r="G1010" i="2"/>
  <c r="C1010" i="2"/>
  <c r="J1009" i="2"/>
  <c r="H1009" i="2"/>
  <c r="G1009" i="2"/>
  <c r="C1009" i="2"/>
  <c r="O1008" i="2"/>
  <c r="N1008" i="2"/>
  <c r="J1008" i="2"/>
  <c r="H1008" i="2"/>
  <c r="G1008" i="2"/>
  <c r="C1008" i="2"/>
  <c r="O1007" i="2"/>
  <c r="N1007" i="2"/>
  <c r="J1007" i="2"/>
  <c r="H1007" i="2"/>
  <c r="G1007" i="2"/>
  <c r="C1007" i="2"/>
  <c r="O1006" i="2"/>
  <c r="N1006" i="2"/>
  <c r="J1006" i="2"/>
  <c r="H1006" i="2"/>
  <c r="G1006" i="2"/>
  <c r="C1006" i="2"/>
  <c r="O1004" i="2"/>
  <c r="N1004" i="2"/>
  <c r="J1004" i="2"/>
  <c r="H1004" i="2"/>
  <c r="G1004" i="2"/>
  <c r="C1004" i="2"/>
  <c r="O1003" i="2"/>
  <c r="N1003" i="2"/>
  <c r="J1003" i="2"/>
  <c r="H1003" i="2"/>
  <c r="G1003" i="2"/>
  <c r="C1003" i="2"/>
  <c r="O1002" i="2"/>
  <c r="N1002" i="2"/>
  <c r="J1002" i="2"/>
  <c r="H1002" i="2"/>
  <c r="G1002" i="2"/>
  <c r="C1002" i="2"/>
  <c r="O1001" i="2"/>
  <c r="N1001" i="2"/>
  <c r="J1001" i="2"/>
  <c r="H1001" i="2"/>
  <c r="G1001" i="2"/>
  <c r="C1001" i="2"/>
  <c r="O1000" i="2"/>
  <c r="N1000" i="2"/>
  <c r="J1000" i="2"/>
  <c r="H1000" i="2"/>
  <c r="G1000" i="2"/>
  <c r="C1000" i="2"/>
  <c r="O999" i="2"/>
  <c r="N999" i="2"/>
  <c r="J999" i="2"/>
  <c r="H999" i="2"/>
  <c r="G999" i="2"/>
  <c r="C999" i="2"/>
  <c r="O998" i="2"/>
  <c r="N998" i="2"/>
  <c r="J998" i="2"/>
  <c r="H998" i="2"/>
  <c r="G998" i="2"/>
  <c r="C998" i="2"/>
  <c r="O997" i="2"/>
  <c r="N997" i="2"/>
  <c r="J997" i="2"/>
  <c r="H997" i="2"/>
  <c r="G997" i="2"/>
  <c r="C997" i="2"/>
  <c r="O996" i="2"/>
  <c r="J996" i="2"/>
  <c r="H996" i="2"/>
  <c r="G996" i="2"/>
  <c r="C996" i="2"/>
  <c r="O995" i="2"/>
  <c r="N995" i="2"/>
  <c r="J995" i="2"/>
  <c r="H995" i="2"/>
  <c r="G995" i="2"/>
  <c r="C995" i="2"/>
  <c r="O994" i="2"/>
  <c r="N994" i="2"/>
  <c r="J994" i="2"/>
  <c r="H994" i="2"/>
  <c r="G994" i="2"/>
  <c r="C994" i="2"/>
  <c r="O993" i="2"/>
  <c r="N993" i="2"/>
  <c r="J993" i="2"/>
  <c r="H993" i="2"/>
  <c r="G993" i="2"/>
  <c r="C993" i="2"/>
  <c r="O992" i="2"/>
  <c r="N992" i="2"/>
  <c r="J992" i="2"/>
  <c r="H992" i="2"/>
  <c r="G992" i="2"/>
  <c r="C992" i="2"/>
  <c r="O991" i="2"/>
  <c r="N991" i="2"/>
  <c r="J991" i="2"/>
  <c r="H991" i="2"/>
  <c r="G991" i="2"/>
  <c r="C991" i="2"/>
  <c r="O990" i="2"/>
  <c r="N990" i="2"/>
  <c r="J990" i="2"/>
  <c r="H990" i="2"/>
  <c r="G990" i="2"/>
  <c r="C990" i="2"/>
  <c r="O989" i="2"/>
  <c r="N989" i="2"/>
  <c r="J989" i="2"/>
  <c r="H989" i="2"/>
  <c r="G989" i="2"/>
  <c r="C989" i="2"/>
  <c r="O988" i="2"/>
  <c r="N988" i="2"/>
  <c r="J988" i="2"/>
  <c r="H988" i="2"/>
  <c r="G988" i="2"/>
  <c r="C988" i="2"/>
  <c r="O987" i="2"/>
  <c r="N987" i="2"/>
  <c r="J987" i="2"/>
  <c r="H987" i="2"/>
  <c r="G987" i="2"/>
  <c r="C987" i="2"/>
  <c r="O986" i="2"/>
  <c r="N986" i="2"/>
  <c r="J986" i="2"/>
  <c r="H986" i="2"/>
  <c r="G986" i="2"/>
  <c r="C986" i="2"/>
  <c r="O985" i="2"/>
  <c r="N985" i="2"/>
  <c r="J985" i="2"/>
  <c r="H985" i="2"/>
  <c r="G985" i="2"/>
  <c r="C985" i="2"/>
  <c r="O984" i="2"/>
  <c r="N984" i="2"/>
  <c r="J984" i="2"/>
  <c r="H984" i="2"/>
  <c r="G984" i="2"/>
  <c r="C984" i="2"/>
  <c r="O983" i="2"/>
  <c r="N983" i="2"/>
  <c r="J983" i="2"/>
  <c r="H983" i="2"/>
  <c r="G983" i="2"/>
  <c r="C983" i="2"/>
  <c r="O982" i="2"/>
  <c r="N982" i="2"/>
  <c r="J982" i="2"/>
  <c r="H982" i="2"/>
  <c r="G982" i="2"/>
  <c r="C982" i="2"/>
  <c r="O981" i="2"/>
  <c r="N981" i="2"/>
  <c r="J981" i="2"/>
  <c r="H981" i="2"/>
  <c r="G981" i="2"/>
  <c r="C981" i="2"/>
  <c r="O980" i="2"/>
  <c r="N980" i="2"/>
  <c r="J980" i="2"/>
  <c r="H980" i="2"/>
  <c r="G980" i="2"/>
  <c r="C980" i="2"/>
  <c r="O979" i="2"/>
  <c r="N979" i="2"/>
  <c r="J979" i="2"/>
  <c r="H979" i="2"/>
  <c r="G979" i="2"/>
  <c r="C979" i="2"/>
  <c r="O978" i="2"/>
  <c r="N978" i="2"/>
  <c r="J978" i="2"/>
  <c r="H978" i="2"/>
  <c r="G978" i="2"/>
  <c r="C978" i="2"/>
  <c r="O977" i="2"/>
  <c r="N977" i="2"/>
  <c r="J977" i="2"/>
  <c r="H977" i="2"/>
  <c r="G977" i="2"/>
  <c r="C977" i="2"/>
  <c r="O976" i="2"/>
  <c r="N976" i="2"/>
  <c r="J976" i="2"/>
  <c r="H976" i="2"/>
  <c r="G976" i="2"/>
  <c r="C976" i="2"/>
  <c r="O975" i="2"/>
  <c r="N975" i="2"/>
  <c r="J975" i="2"/>
  <c r="H975" i="2"/>
  <c r="G975" i="2"/>
  <c r="C975" i="2"/>
  <c r="O974" i="2"/>
  <c r="N974" i="2"/>
  <c r="J974" i="2"/>
  <c r="H974" i="2"/>
  <c r="G974" i="2"/>
  <c r="C974" i="2"/>
  <c r="O973" i="2"/>
  <c r="N973" i="2"/>
  <c r="J973" i="2"/>
  <c r="H973" i="2"/>
  <c r="G973" i="2"/>
  <c r="C973" i="2"/>
  <c r="O972" i="2"/>
  <c r="N972" i="2"/>
  <c r="J972" i="2"/>
  <c r="H972" i="2"/>
  <c r="G972" i="2"/>
  <c r="C972" i="2"/>
  <c r="O971" i="2"/>
  <c r="N971" i="2"/>
  <c r="J971" i="2"/>
  <c r="H971" i="2"/>
  <c r="G971" i="2"/>
  <c r="C971" i="2"/>
  <c r="O970" i="2"/>
  <c r="N970" i="2"/>
  <c r="J970" i="2"/>
  <c r="H970" i="2"/>
  <c r="G970" i="2"/>
  <c r="C970" i="2"/>
  <c r="O969" i="2"/>
  <c r="N969" i="2"/>
  <c r="J969" i="2"/>
  <c r="H969" i="2"/>
  <c r="G969" i="2"/>
  <c r="C969" i="2"/>
  <c r="O968" i="2"/>
  <c r="N968" i="2"/>
  <c r="J968" i="2"/>
  <c r="H968" i="2"/>
  <c r="G968" i="2"/>
  <c r="C968" i="2"/>
  <c r="O967" i="2"/>
  <c r="N967" i="2"/>
  <c r="J967" i="2"/>
  <c r="H967" i="2"/>
  <c r="G967" i="2"/>
  <c r="C967" i="2"/>
  <c r="O966" i="2"/>
  <c r="N966" i="2"/>
  <c r="J966" i="2"/>
  <c r="H966" i="2"/>
  <c r="G966" i="2"/>
  <c r="C966" i="2"/>
  <c r="O965" i="2"/>
  <c r="N965" i="2"/>
  <c r="J965" i="2"/>
  <c r="H965" i="2"/>
  <c r="G965" i="2"/>
  <c r="C965" i="2"/>
  <c r="J964" i="2"/>
  <c r="H964" i="2"/>
  <c r="G964" i="2"/>
  <c r="C964" i="2"/>
  <c r="O963" i="2"/>
  <c r="N963" i="2"/>
  <c r="J963" i="2"/>
  <c r="H963" i="2"/>
  <c r="G963" i="2"/>
  <c r="C963" i="2"/>
  <c r="O962" i="2"/>
  <c r="N962" i="2"/>
  <c r="J962" i="2"/>
  <c r="H962" i="2"/>
  <c r="G962" i="2"/>
  <c r="C962" i="2"/>
  <c r="O961" i="2"/>
  <c r="N961" i="2"/>
  <c r="J961" i="2"/>
  <c r="H961" i="2"/>
  <c r="G961" i="2"/>
  <c r="C961" i="2"/>
  <c r="O960" i="2"/>
  <c r="N960" i="2"/>
  <c r="J960" i="2"/>
  <c r="H960" i="2"/>
  <c r="G960" i="2"/>
  <c r="C960" i="2"/>
  <c r="N959" i="2"/>
  <c r="J959" i="2"/>
  <c r="H959" i="2"/>
  <c r="G959" i="2"/>
  <c r="C959" i="2"/>
  <c r="O956" i="2"/>
  <c r="N956" i="2"/>
  <c r="J956" i="2"/>
  <c r="H956" i="2"/>
  <c r="G956" i="2"/>
  <c r="C956" i="2"/>
  <c r="O955" i="2"/>
  <c r="N955" i="2"/>
  <c r="J955" i="2"/>
  <c r="H955" i="2"/>
  <c r="G955" i="2"/>
  <c r="C955" i="2"/>
  <c r="O954" i="2"/>
  <c r="N954" i="2"/>
  <c r="J954" i="2"/>
  <c r="H954" i="2"/>
  <c r="G954" i="2"/>
  <c r="C954" i="2"/>
  <c r="O953" i="2"/>
  <c r="N953" i="2"/>
  <c r="J953" i="2"/>
  <c r="H953" i="2"/>
  <c r="G953" i="2"/>
  <c r="C953" i="2"/>
  <c r="O952" i="2"/>
  <c r="N952" i="2"/>
  <c r="J952" i="2"/>
  <c r="H952" i="2"/>
  <c r="G952" i="2"/>
  <c r="C952" i="2"/>
  <c r="O951" i="2"/>
  <c r="N951" i="2"/>
  <c r="J951" i="2"/>
  <c r="H951" i="2"/>
  <c r="G951" i="2"/>
  <c r="C951" i="2"/>
  <c r="O950" i="2"/>
  <c r="N950" i="2"/>
  <c r="J950" i="2"/>
  <c r="H950" i="2"/>
  <c r="G950" i="2"/>
  <c r="C950" i="2"/>
  <c r="O949" i="2"/>
  <c r="N949" i="2"/>
  <c r="J949" i="2"/>
  <c r="H949" i="2"/>
  <c r="G949" i="2"/>
  <c r="C949" i="2"/>
  <c r="O948" i="2"/>
  <c r="N948" i="2"/>
  <c r="J948" i="2"/>
  <c r="H948" i="2"/>
  <c r="G948" i="2"/>
  <c r="C948" i="2"/>
  <c r="O947" i="2"/>
  <c r="N947" i="2"/>
  <c r="J947" i="2"/>
  <c r="H947" i="2"/>
  <c r="G947" i="2"/>
  <c r="C947" i="2"/>
  <c r="O946" i="2"/>
  <c r="N946" i="2"/>
  <c r="J946" i="2"/>
  <c r="H946" i="2"/>
  <c r="G946" i="2"/>
  <c r="C946" i="2"/>
  <c r="O945" i="2"/>
  <c r="N945" i="2"/>
  <c r="J945" i="2"/>
  <c r="H945" i="2"/>
  <c r="G945" i="2"/>
  <c r="C945" i="2"/>
  <c r="O944" i="2"/>
  <c r="N944" i="2"/>
  <c r="J944" i="2"/>
  <c r="H944" i="2"/>
  <c r="G944" i="2"/>
  <c r="C944" i="2"/>
  <c r="O943" i="2"/>
  <c r="N943" i="2"/>
  <c r="J943" i="2"/>
  <c r="H943" i="2"/>
  <c r="G943" i="2"/>
  <c r="C943" i="2"/>
  <c r="O942" i="2"/>
  <c r="N942" i="2"/>
  <c r="J942" i="2"/>
  <c r="H942" i="2"/>
  <c r="G942" i="2"/>
  <c r="C942" i="2"/>
  <c r="O941" i="2"/>
  <c r="N941" i="2"/>
  <c r="J941" i="2"/>
  <c r="H941" i="2"/>
  <c r="G941" i="2"/>
  <c r="C941" i="2"/>
  <c r="O940" i="2"/>
  <c r="N940" i="2"/>
  <c r="J940" i="2"/>
  <c r="H940" i="2"/>
  <c r="G940" i="2"/>
  <c r="C940" i="2"/>
  <c r="O939" i="2"/>
  <c r="N939" i="2"/>
  <c r="J939" i="2"/>
  <c r="H939" i="2"/>
  <c r="G939" i="2"/>
  <c r="C939" i="2"/>
  <c r="O938" i="2"/>
  <c r="N938" i="2"/>
  <c r="J938" i="2"/>
  <c r="H938" i="2"/>
  <c r="G938" i="2"/>
  <c r="C938" i="2"/>
  <c r="O936" i="2"/>
  <c r="N936" i="2"/>
  <c r="J936" i="2"/>
  <c r="H936" i="2"/>
  <c r="G936" i="2"/>
  <c r="C936" i="2"/>
  <c r="O935" i="2"/>
  <c r="N935" i="2"/>
  <c r="J935" i="2"/>
  <c r="H935" i="2"/>
  <c r="G935" i="2"/>
  <c r="C935" i="2"/>
  <c r="O934" i="2"/>
  <c r="N934" i="2"/>
  <c r="J934" i="2"/>
  <c r="H934" i="2"/>
  <c r="G934" i="2"/>
  <c r="C934" i="2"/>
  <c r="O933" i="2"/>
  <c r="N933" i="2"/>
  <c r="J933" i="2"/>
  <c r="H933" i="2"/>
  <c r="G933" i="2"/>
  <c r="C933" i="2"/>
  <c r="O932" i="2"/>
  <c r="N932" i="2"/>
  <c r="J932" i="2"/>
  <c r="H932" i="2"/>
  <c r="G932" i="2"/>
  <c r="C932" i="2"/>
  <c r="O931" i="2"/>
  <c r="N931" i="2"/>
  <c r="J931" i="2"/>
  <c r="H931" i="2"/>
  <c r="G931" i="2"/>
  <c r="C931" i="2"/>
  <c r="O930" i="2"/>
  <c r="N930" i="2"/>
  <c r="J930" i="2"/>
  <c r="H930" i="2"/>
  <c r="G930" i="2"/>
  <c r="C930" i="2"/>
  <c r="O929" i="2"/>
  <c r="N929" i="2"/>
  <c r="J929" i="2"/>
  <c r="H929" i="2"/>
  <c r="G929" i="2"/>
  <c r="C929" i="2"/>
  <c r="O928" i="2"/>
  <c r="N928" i="2"/>
  <c r="J928" i="2"/>
  <c r="H928" i="2"/>
  <c r="G928" i="2"/>
  <c r="C928" i="2"/>
  <c r="O927" i="2"/>
  <c r="N927" i="2"/>
  <c r="J927" i="2"/>
  <c r="H927" i="2"/>
  <c r="G927" i="2"/>
  <c r="C927" i="2"/>
  <c r="O926" i="2"/>
  <c r="N926" i="2"/>
  <c r="J926" i="2"/>
  <c r="H926" i="2"/>
  <c r="G926" i="2"/>
  <c r="C926" i="2"/>
  <c r="O925" i="2"/>
  <c r="N925" i="2"/>
  <c r="J925" i="2"/>
  <c r="H925" i="2"/>
  <c r="G925" i="2"/>
  <c r="C925" i="2"/>
  <c r="O924" i="2"/>
  <c r="N924" i="2"/>
  <c r="J924" i="2"/>
  <c r="H924" i="2"/>
  <c r="G924" i="2"/>
  <c r="C924" i="2"/>
  <c r="O923" i="2"/>
  <c r="N923" i="2"/>
  <c r="J923" i="2"/>
  <c r="H923" i="2"/>
  <c r="G923" i="2"/>
  <c r="C923" i="2"/>
  <c r="O922" i="2"/>
  <c r="N922" i="2"/>
  <c r="J922" i="2"/>
  <c r="H922" i="2"/>
  <c r="G922" i="2"/>
  <c r="C922" i="2"/>
  <c r="O921" i="2"/>
  <c r="N921" i="2"/>
  <c r="J921" i="2"/>
  <c r="H921" i="2"/>
  <c r="G921" i="2"/>
  <c r="C921" i="2"/>
  <c r="O920" i="2"/>
  <c r="N920" i="2"/>
  <c r="J920" i="2"/>
  <c r="H920" i="2"/>
  <c r="G920" i="2"/>
  <c r="C920" i="2"/>
  <c r="O919" i="2"/>
  <c r="N919" i="2"/>
  <c r="J919" i="2"/>
  <c r="H919" i="2"/>
  <c r="G919" i="2"/>
  <c r="C919" i="2"/>
  <c r="O918" i="2"/>
  <c r="N918" i="2"/>
  <c r="J918" i="2"/>
  <c r="H918" i="2"/>
  <c r="G918" i="2"/>
  <c r="C918" i="2"/>
  <c r="O917" i="2"/>
  <c r="N917" i="2"/>
  <c r="J917" i="2"/>
  <c r="H917" i="2"/>
  <c r="G917" i="2"/>
  <c r="C917" i="2"/>
  <c r="O916" i="2"/>
  <c r="N916" i="2"/>
  <c r="J916" i="2"/>
  <c r="H916" i="2"/>
  <c r="G916" i="2"/>
  <c r="C916" i="2"/>
  <c r="O915" i="2"/>
  <c r="N915" i="2"/>
  <c r="J915" i="2"/>
  <c r="H915" i="2"/>
  <c r="G915" i="2"/>
  <c r="C915" i="2"/>
  <c r="O914" i="2"/>
  <c r="N914" i="2"/>
  <c r="J914" i="2"/>
  <c r="H914" i="2"/>
  <c r="G914" i="2"/>
  <c r="C914" i="2"/>
  <c r="O913" i="2"/>
  <c r="N913" i="2"/>
  <c r="J913" i="2"/>
  <c r="H913" i="2"/>
  <c r="G913" i="2"/>
  <c r="C913" i="2"/>
  <c r="O912" i="2"/>
  <c r="N912" i="2"/>
  <c r="J912" i="2"/>
  <c r="H912" i="2"/>
  <c r="G912" i="2"/>
  <c r="C912" i="2"/>
  <c r="O911" i="2"/>
  <c r="N911" i="2"/>
  <c r="J911" i="2"/>
  <c r="H911" i="2"/>
  <c r="G911" i="2"/>
  <c r="C911" i="2"/>
  <c r="O910" i="2"/>
  <c r="N910" i="2"/>
  <c r="J910" i="2"/>
  <c r="H910" i="2"/>
  <c r="G910" i="2"/>
  <c r="C910" i="2"/>
  <c r="O909" i="2"/>
  <c r="N909" i="2"/>
  <c r="J909" i="2"/>
  <c r="H909" i="2"/>
  <c r="G909" i="2"/>
  <c r="C909" i="2"/>
  <c r="O908" i="2"/>
  <c r="N908" i="2"/>
  <c r="J908" i="2"/>
  <c r="H908" i="2"/>
  <c r="G908" i="2"/>
  <c r="C908" i="2"/>
  <c r="O907" i="2"/>
  <c r="N907" i="2"/>
  <c r="J907" i="2"/>
  <c r="H907" i="2"/>
  <c r="G907" i="2"/>
  <c r="C907" i="2"/>
  <c r="O906" i="2"/>
  <c r="N906" i="2"/>
  <c r="J906" i="2"/>
  <c r="H906" i="2"/>
  <c r="G906" i="2"/>
  <c r="C906" i="2"/>
  <c r="O904" i="2"/>
  <c r="N904" i="2"/>
  <c r="J904" i="2"/>
  <c r="H904" i="2"/>
  <c r="G904" i="2"/>
  <c r="C904" i="2"/>
  <c r="O903" i="2"/>
  <c r="N903" i="2"/>
  <c r="J903" i="2"/>
  <c r="H903" i="2"/>
  <c r="G903" i="2"/>
  <c r="C903" i="2"/>
  <c r="O902" i="2"/>
  <c r="N902" i="2"/>
  <c r="J902" i="2"/>
  <c r="H902" i="2"/>
  <c r="G902" i="2"/>
  <c r="C902" i="2"/>
  <c r="O901" i="2"/>
  <c r="N901" i="2"/>
  <c r="J901" i="2"/>
  <c r="H901" i="2"/>
  <c r="G901" i="2"/>
  <c r="C901" i="2"/>
  <c r="O900" i="2"/>
  <c r="N900" i="2"/>
  <c r="J900" i="2"/>
  <c r="H900" i="2"/>
  <c r="G900" i="2"/>
  <c r="C900" i="2"/>
  <c r="O899" i="2"/>
  <c r="N899" i="2"/>
  <c r="J899" i="2"/>
  <c r="H899" i="2"/>
  <c r="G899" i="2"/>
  <c r="C899" i="2"/>
  <c r="O898" i="2"/>
  <c r="N898" i="2"/>
  <c r="J898" i="2"/>
  <c r="H898" i="2"/>
  <c r="G898" i="2"/>
  <c r="C898" i="2"/>
  <c r="O897" i="2"/>
  <c r="N897" i="2"/>
  <c r="J897" i="2"/>
  <c r="H897" i="2"/>
  <c r="G897" i="2"/>
  <c r="C897" i="2"/>
  <c r="O896" i="2"/>
  <c r="N896" i="2"/>
  <c r="J896" i="2"/>
  <c r="H896" i="2"/>
  <c r="G896" i="2"/>
  <c r="C896" i="2"/>
  <c r="O895" i="2"/>
  <c r="N895" i="2"/>
  <c r="J895" i="2"/>
  <c r="H895" i="2"/>
  <c r="G895" i="2"/>
  <c r="C895" i="2"/>
  <c r="O894" i="2"/>
  <c r="N894" i="2"/>
  <c r="J894" i="2"/>
  <c r="H894" i="2"/>
  <c r="G894" i="2"/>
  <c r="C894" i="2"/>
  <c r="O893" i="2"/>
  <c r="N893" i="2"/>
  <c r="J893" i="2"/>
  <c r="H893" i="2"/>
  <c r="G893" i="2"/>
  <c r="C893" i="2"/>
  <c r="O892" i="2"/>
  <c r="N892" i="2"/>
  <c r="J892" i="2"/>
  <c r="H892" i="2"/>
  <c r="G892" i="2"/>
  <c r="C892" i="2"/>
  <c r="O891" i="2"/>
  <c r="N891" i="2"/>
  <c r="J891" i="2"/>
  <c r="H891" i="2"/>
  <c r="G891" i="2"/>
  <c r="C891" i="2"/>
  <c r="N890" i="2"/>
  <c r="H890" i="2"/>
  <c r="G890" i="2"/>
  <c r="C890" i="2"/>
  <c r="O889" i="2"/>
  <c r="N889" i="2"/>
  <c r="J889" i="2"/>
  <c r="H889" i="2"/>
  <c r="G889" i="2"/>
  <c r="C889" i="2"/>
  <c r="O888" i="2"/>
  <c r="N888" i="2"/>
  <c r="J888" i="2"/>
  <c r="H888" i="2"/>
  <c r="G888" i="2"/>
  <c r="C888" i="2"/>
  <c r="O887" i="2"/>
  <c r="N887" i="2"/>
  <c r="J887" i="2"/>
  <c r="H887" i="2"/>
  <c r="G887" i="2"/>
  <c r="C887" i="2"/>
  <c r="O886" i="2"/>
  <c r="N886" i="2"/>
  <c r="J886" i="2"/>
  <c r="H886" i="2"/>
  <c r="G886" i="2"/>
  <c r="C886" i="2"/>
  <c r="O885" i="2"/>
  <c r="N885" i="2"/>
  <c r="J885" i="2"/>
  <c r="H885" i="2"/>
  <c r="G885" i="2"/>
  <c r="C885" i="2"/>
  <c r="O884" i="2"/>
  <c r="N884" i="2"/>
  <c r="J884" i="2"/>
  <c r="H884" i="2"/>
  <c r="G884" i="2"/>
  <c r="C884" i="2"/>
  <c r="O883" i="2"/>
  <c r="N883" i="2"/>
  <c r="J883" i="2"/>
  <c r="H883" i="2"/>
  <c r="G883" i="2"/>
  <c r="C883" i="2"/>
  <c r="O882" i="2"/>
  <c r="N882" i="2"/>
  <c r="J882" i="2"/>
  <c r="H882" i="2"/>
  <c r="G882" i="2"/>
  <c r="C882" i="2"/>
  <c r="O881" i="2"/>
  <c r="N881" i="2"/>
  <c r="J881" i="2"/>
  <c r="H881" i="2"/>
  <c r="G881" i="2"/>
  <c r="C881" i="2"/>
  <c r="O880" i="2"/>
  <c r="N880" i="2"/>
  <c r="J880" i="2"/>
  <c r="H880" i="2"/>
  <c r="G880" i="2"/>
  <c r="C880" i="2"/>
  <c r="O879" i="2"/>
  <c r="N879" i="2"/>
  <c r="J879" i="2"/>
  <c r="H879" i="2"/>
  <c r="G879" i="2"/>
  <c r="C879" i="2"/>
  <c r="O878" i="2"/>
  <c r="N878" i="2"/>
  <c r="J878" i="2"/>
  <c r="H878" i="2"/>
  <c r="G878" i="2"/>
  <c r="C878" i="2"/>
  <c r="O877" i="2"/>
  <c r="N877" i="2"/>
  <c r="J877" i="2"/>
  <c r="H877" i="2"/>
  <c r="G877" i="2"/>
  <c r="C877" i="2"/>
  <c r="O876" i="2"/>
  <c r="N876" i="2"/>
  <c r="J876" i="2"/>
  <c r="H876" i="2"/>
  <c r="G876" i="2"/>
  <c r="C876" i="2"/>
  <c r="O875" i="2"/>
  <c r="N875" i="2"/>
  <c r="J875" i="2"/>
  <c r="H875" i="2"/>
  <c r="G875" i="2"/>
  <c r="C875" i="2"/>
  <c r="O874" i="2"/>
  <c r="N874" i="2"/>
  <c r="J874" i="2"/>
  <c r="H874" i="2"/>
  <c r="G874" i="2"/>
  <c r="C874" i="2"/>
  <c r="O873" i="2"/>
  <c r="N873" i="2"/>
  <c r="J873" i="2"/>
  <c r="H873" i="2"/>
  <c r="G873" i="2"/>
  <c r="C873" i="2"/>
  <c r="O872" i="2"/>
  <c r="N872" i="2"/>
  <c r="J872" i="2"/>
  <c r="H872" i="2"/>
  <c r="G872" i="2"/>
  <c r="C872" i="2"/>
  <c r="O871" i="2"/>
  <c r="N871" i="2"/>
  <c r="J871" i="2"/>
  <c r="H871" i="2"/>
  <c r="G871" i="2"/>
  <c r="C871" i="2"/>
  <c r="O870" i="2"/>
  <c r="N870" i="2"/>
  <c r="J870" i="2"/>
  <c r="H870" i="2"/>
  <c r="G870" i="2"/>
  <c r="C870" i="2"/>
  <c r="O869" i="2"/>
  <c r="N869" i="2"/>
  <c r="J869" i="2"/>
  <c r="H869" i="2"/>
  <c r="G869" i="2"/>
  <c r="C869" i="2"/>
  <c r="O867" i="2"/>
  <c r="N867" i="2"/>
  <c r="J867" i="2"/>
  <c r="H867" i="2"/>
  <c r="G867" i="2"/>
  <c r="C867" i="2"/>
  <c r="O866" i="2"/>
  <c r="N866" i="2"/>
  <c r="J866" i="2"/>
  <c r="H866" i="2"/>
  <c r="G866" i="2"/>
  <c r="C866" i="2"/>
  <c r="O865" i="2"/>
  <c r="N865" i="2"/>
  <c r="J865" i="2"/>
  <c r="H865" i="2"/>
  <c r="G865" i="2"/>
  <c r="C865" i="2"/>
  <c r="O864" i="2"/>
  <c r="N864" i="2"/>
  <c r="J864" i="2"/>
  <c r="H864" i="2"/>
  <c r="G864" i="2"/>
  <c r="C864" i="2"/>
  <c r="O863" i="2"/>
  <c r="N863" i="2"/>
  <c r="J863" i="2"/>
  <c r="H863" i="2"/>
  <c r="G863" i="2"/>
  <c r="C863" i="2"/>
  <c r="O862" i="2"/>
  <c r="N862" i="2"/>
  <c r="J862" i="2"/>
  <c r="H862" i="2"/>
  <c r="G862" i="2"/>
  <c r="C862" i="2"/>
  <c r="O861" i="2"/>
  <c r="N861" i="2"/>
  <c r="J861" i="2"/>
  <c r="H861" i="2"/>
  <c r="G861" i="2"/>
  <c r="C861" i="2"/>
  <c r="O860" i="2"/>
  <c r="N860" i="2"/>
  <c r="J860" i="2"/>
  <c r="H860" i="2"/>
  <c r="G860" i="2"/>
  <c r="C860" i="2"/>
  <c r="O859" i="2"/>
  <c r="N859" i="2"/>
  <c r="J859" i="2"/>
  <c r="H859" i="2"/>
  <c r="G859" i="2"/>
  <c r="C859" i="2"/>
  <c r="O858" i="2"/>
  <c r="N858" i="2"/>
  <c r="J858" i="2"/>
  <c r="H858" i="2"/>
  <c r="G858" i="2"/>
  <c r="C858" i="2"/>
  <c r="O857" i="2"/>
  <c r="N857" i="2"/>
  <c r="J857" i="2"/>
  <c r="H857" i="2"/>
  <c r="G857" i="2"/>
  <c r="C857" i="2"/>
  <c r="O856" i="2"/>
  <c r="N856" i="2"/>
  <c r="J856" i="2"/>
  <c r="H856" i="2"/>
  <c r="G856" i="2"/>
  <c r="C856" i="2"/>
  <c r="O855" i="2"/>
  <c r="N855" i="2"/>
  <c r="J855" i="2"/>
  <c r="H855" i="2"/>
  <c r="G855" i="2"/>
  <c r="C855" i="2"/>
  <c r="O854" i="2"/>
  <c r="N854" i="2"/>
  <c r="J854" i="2"/>
  <c r="H854" i="2"/>
  <c r="G854" i="2"/>
  <c r="C854" i="2"/>
  <c r="O853" i="2"/>
  <c r="N853" i="2"/>
  <c r="J853" i="2"/>
  <c r="H853" i="2"/>
  <c r="G853" i="2"/>
  <c r="C853" i="2"/>
  <c r="O852" i="2"/>
  <c r="N852" i="2"/>
  <c r="J852" i="2"/>
  <c r="H852" i="2"/>
  <c r="G852" i="2"/>
  <c r="C852" i="2"/>
  <c r="O851" i="2"/>
  <c r="N851" i="2"/>
  <c r="J851" i="2"/>
  <c r="H851" i="2"/>
  <c r="G851" i="2"/>
  <c r="C851" i="2"/>
  <c r="O850" i="2"/>
  <c r="N850" i="2"/>
  <c r="J850" i="2"/>
  <c r="H850" i="2"/>
  <c r="G850" i="2"/>
  <c r="C850" i="2"/>
  <c r="O849" i="2"/>
  <c r="N849" i="2"/>
  <c r="J849" i="2"/>
  <c r="H849" i="2"/>
  <c r="G849" i="2"/>
  <c r="C849" i="2"/>
  <c r="O848" i="2"/>
  <c r="N848" i="2"/>
  <c r="J848" i="2"/>
  <c r="H848" i="2"/>
  <c r="G848" i="2"/>
  <c r="C848" i="2"/>
  <c r="O847" i="2"/>
  <c r="N847" i="2"/>
  <c r="J847" i="2"/>
  <c r="H847" i="2"/>
  <c r="G847" i="2"/>
  <c r="C847" i="2"/>
  <c r="O846" i="2"/>
  <c r="N846" i="2"/>
  <c r="J846" i="2"/>
  <c r="H846" i="2"/>
  <c r="G846" i="2"/>
  <c r="C846" i="2"/>
  <c r="O845" i="2"/>
  <c r="J845" i="2"/>
  <c r="H845" i="2"/>
  <c r="G845" i="2"/>
  <c r="C845" i="2"/>
  <c r="O844" i="2"/>
  <c r="N844" i="2"/>
  <c r="J844" i="2"/>
  <c r="H844" i="2"/>
  <c r="G844" i="2"/>
  <c r="C844" i="2"/>
  <c r="O843" i="2"/>
  <c r="N843" i="2"/>
  <c r="J843" i="2"/>
  <c r="H843" i="2"/>
  <c r="G843" i="2"/>
  <c r="C843" i="2"/>
  <c r="O842" i="2"/>
  <c r="N842" i="2"/>
  <c r="J842" i="2"/>
  <c r="H842" i="2"/>
  <c r="G842" i="2"/>
  <c r="C842" i="2"/>
  <c r="O841" i="2"/>
  <c r="N841" i="2"/>
  <c r="J841" i="2"/>
  <c r="H841" i="2"/>
  <c r="G841" i="2"/>
  <c r="C841" i="2"/>
  <c r="O840" i="2"/>
  <c r="N840" i="2"/>
  <c r="J840" i="2"/>
  <c r="H840" i="2"/>
  <c r="G840" i="2"/>
  <c r="C840" i="2"/>
  <c r="O839" i="2"/>
  <c r="N839" i="2"/>
  <c r="J839" i="2"/>
  <c r="H839" i="2"/>
  <c r="G839" i="2"/>
  <c r="C839" i="2"/>
  <c r="O838" i="2"/>
  <c r="N838" i="2"/>
  <c r="J838" i="2"/>
  <c r="H838" i="2"/>
  <c r="G838" i="2"/>
  <c r="C838" i="2"/>
  <c r="O837" i="2"/>
  <c r="N837" i="2"/>
  <c r="J837" i="2"/>
  <c r="H837" i="2"/>
  <c r="G837" i="2"/>
  <c r="C837" i="2"/>
  <c r="O836" i="2"/>
  <c r="N836" i="2"/>
  <c r="J836" i="2"/>
  <c r="H836" i="2"/>
  <c r="G836" i="2"/>
  <c r="C836" i="2"/>
  <c r="O835" i="2"/>
  <c r="N835" i="2"/>
  <c r="J835" i="2"/>
  <c r="H835" i="2"/>
  <c r="G835" i="2"/>
  <c r="C835" i="2"/>
  <c r="O834" i="2"/>
  <c r="N834" i="2"/>
  <c r="J834" i="2"/>
  <c r="H834" i="2"/>
  <c r="G834" i="2"/>
  <c r="C834" i="2"/>
  <c r="O833" i="2"/>
  <c r="N833" i="2"/>
  <c r="J833" i="2"/>
  <c r="H833" i="2"/>
  <c r="G833" i="2"/>
  <c r="C833" i="2"/>
  <c r="O832" i="2"/>
  <c r="N832" i="2"/>
  <c r="J832" i="2"/>
  <c r="H832" i="2"/>
  <c r="G832" i="2"/>
  <c r="C832" i="2"/>
  <c r="O831" i="2"/>
  <c r="N831" i="2"/>
  <c r="J831" i="2"/>
  <c r="H831" i="2"/>
  <c r="G831" i="2"/>
  <c r="C831" i="2"/>
  <c r="O830" i="2"/>
  <c r="N830" i="2"/>
  <c r="J830" i="2"/>
  <c r="H830" i="2"/>
  <c r="G830" i="2"/>
  <c r="C830" i="2"/>
  <c r="O829" i="2"/>
  <c r="N829" i="2"/>
  <c r="J829" i="2"/>
  <c r="H829" i="2"/>
  <c r="G829" i="2"/>
  <c r="C829" i="2"/>
  <c r="O828" i="2"/>
  <c r="J828" i="2"/>
  <c r="H828" i="2"/>
  <c r="G828" i="2"/>
  <c r="C828" i="2"/>
  <c r="O827" i="2"/>
  <c r="J827" i="2"/>
  <c r="H827" i="2"/>
  <c r="G827" i="2"/>
  <c r="C827" i="2"/>
  <c r="O826" i="2"/>
  <c r="J826" i="2"/>
  <c r="H826" i="2"/>
  <c r="G826" i="2"/>
  <c r="C826" i="2"/>
  <c r="O825" i="2"/>
  <c r="J825" i="2"/>
  <c r="H825" i="2"/>
  <c r="G825" i="2"/>
  <c r="C825" i="2"/>
  <c r="O824" i="2"/>
  <c r="J824" i="2"/>
  <c r="H824" i="2"/>
  <c r="G824" i="2"/>
  <c r="C824" i="2"/>
  <c r="O823" i="2"/>
  <c r="J823" i="2"/>
  <c r="H823" i="2"/>
  <c r="G823" i="2"/>
  <c r="C823" i="2"/>
  <c r="O822" i="2"/>
  <c r="J822" i="2"/>
  <c r="H822" i="2"/>
  <c r="G822" i="2"/>
  <c r="C822" i="2"/>
  <c r="O821" i="2"/>
  <c r="J821" i="2"/>
  <c r="H821" i="2"/>
  <c r="G821" i="2"/>
  <c r="C821" i="2"/>
  <c r="O820" i="2"/>
  <c r="J820" i="2"/>
  <c r="H820" i="2"/>
  <c r="G820" i="2"/>
  <c r="C820" i="2"/>
  <c r="O819" i="2"/>
  <c r="N819" i="2"/>
  <c r="J819" i="2"/>
  <c r="H819" i="2"/>
  <c r="G819" i="2"/>
  <c r="C819" i="2"/>
  <c r="O818" i="2"/>
  <c r="J818" i="2"/>
  <c r="H818" i="2"/>
  <c r="G818" i="2"/>
  <c r="C818" i="2"/>
  <c r="O817" i="2"/>
  <c r="J817" i="2"/>
  <c r="H817" i="2"/>
  <c r="G817" i="2"/>
  <c r="C817" i="2"/>
  <c r="O816" i="2"/>
  <c r="J816" i="2"/>
  <c r="H816" i="2"/>
  <c r="G816" i="2"/>
  <c r="C816" i="2"/>
  <c r="O815" i="2"/>
  <c r="J815" i="2"/>
  <c r="H815" i="2"/>
  <c r="G815" i="2"/>
  <c r="C815" i="2"/>
  <c r="O814" i="2"/>
  <c r="J814" i="2"/>
  <c r="H814" i="2"/>
  <c r="G814" i="2"/>
  <c r="C814" i="2"/>
  <c r="O813" i="2"/>
  <c r="J813" i="2"/>
  <c r="H813" i="2"/>
  <c r="G813" i="2"/>
  <c r="C813" i="2"/>
  <c r="O812" i="2"/>
  <c r="N812" i="2"/>
  <c r="J812" i="2"/>
  <c r="H812" i="2"/>
  <c r="G812" i="2"/>
  <c r="C812" i="2"/>
  <c r="O811" i="2"/>
  <c r="J811" i="2"/>
  <c r="H811" i="2"/>
  <c r="G811" i="2"/>
  <c r="C811" i="2"/>
  <c r="O810" i="2"/>
  <c r="J810" i="2"/>
  <c r="H810" i="2"/>
  <c r="G810" i="2"/>
  <c r="C810" i="2"/>
  <c r="O809" i="2"/>
  <c r="J809" i="2"/>
  <c r="H809" i="2"/>
  <c r="G809" i="2"/>
  <c r="C809" i="2"/>
  <c r="O808" i="2"/>
  <c r="N808" i="2"/>
  <c r="J808" i="2"/>
  <c r="H808" i="2"/>
  <c r="G808" i="2"/>
  <c r="C808" i="2"/>
  <c r="O807" i="2"/>
  <c r="J807" i="2"/>
  <c r="H807" i="2"/>
  <c r="G807" i="2"/>
  <c r="C807" i="2"/>
  <c r="O806" i="2"/>
  <c r="J806" i="2"/>
  <c r="H806" i="2"/>
  <c r="G806" i="2"/>
  <c r="C806" i="2"/>
  <c r="O805" i="2"/>
  <c r="N805" i="2"/>
  <c r="J805" i="2"/>
  <c r="H805" i="2"/>
  <c r="G805" i="2"/>
  <c r="C805" i="2"/>
  <c r="O804" i="2"/>
  <c r="N804" i="2"/>
  <c r="J804" i="2"/>
  <c r="H804" i="2"/>
  <c r="G804" i="2"/>
  <c r="C804" i="2"/>
  <c r="O803" i="2"/>
  <c r="J803" i="2"/>
  <c r="H803" i="2"/>
  <c r="G803" i="2"/>
  <c r="C803" i="2"/>
  <c r="O802" i="2"/>
  <c r="N802" i="2"/>
  <c r="J802" i="2"/>
  <c r="H802" i="2"/>
  <c r="G802" i="2"/>
  <c r="C802" i="2"/>
  <c r="O801" i="2"/>
  <c r="J801" i="2"/>
  <c r="H801" i="2"/>
  <c r="G801" i="2"/>
  <c r="C801" i="2"/>
  <c r="O800" i="2"/>
  <c r="N800" i="2"/>
  <c r="J800" i="2"/>
  <c r="H800" i="2"/>
  <c r="G800" i="2"/>
  <c r="C800" i="2"/>
  <c r="O799" i="2"/>
  <c r="J799" i="2"/>
  <c r="H799" i="2"/>
  <c r="G799" i="2"/>
  <c r="C799" i="2"/>
  <c r="O798" i="2"/>
  <c r="J798" i="2"/>
  <c r="H798" i="2"/>
  <c r="G798" i="2"/>
  <c r="C798" i="2"/>
  <c r="O797" i="2"/>
  <c r="J797" i="2"/>
  <c r="H797" i="2"/>
  <c r="G797" i="2"/>
  <c r="C797" i="2"/>
  <c r="O796" i="2"/>
  <c r="J796" i="2"/>
  <c r="H796" i="2"/>
  <c r="G796" i="2"/>
  <c r="C796" i="2"/>
  <c r="O795" i="2"/>
  <c r="J795" i="2"/>
  <c r="H795" i="2"/>
  <c r="G795" i="2"/>
  <c r="C795" i="2"/>
  <c r="O794" i="2"/>
  <c r="N794" i="2"/>
  <c r="J794" i="2"/>
  <c r="H794" i="2"/>
  <c r="G794" i="2"/>
  <c r="C794" i="2"/>
  <c r="O793" i="2"/>
  <c r="J793" i="2"/>
  <c r="H793" i="2"/>
  <c r="G793" i="2"/>
  <c r="C793" i="2"/>
  <c r="O792" i="2"/>
  <c r="N792" i="2"/>
  <c r="J792" i="2"/>
  <c r="H792" i="2"/>
  <c r="G792" i="2"/>
  <c r="C792" i="2"/>
  <c r="O791" i="2"/>
  <c r="N791" i="2"/>
  <c r="J791" i="2"/>
  <c r="H791" i="2"/>
  <c r="G791" i="2"/>
  <c r="C791" i="2"/>
  <c r="O790" i="2"/>
  <c r="J790" i="2"/>
  <c r="H790" i="2"/>
  <c r="G790" i="2"/>
  <c r="C790" i="2"/>
  <c r="O789" i="2"/>
  <c r="J789" i="2"/>
  <c r="H789" i="2"/>
  <c r="G789" i="2"/>
  <c r="C789" i="2"/>
  <c r="O788" i="2"/>
  <c r="N788" i="2"/>
  <c r="J788" i="2"/>
  <c r="H788" i="2"/>
  <c r="G788" i="2"/>
  <c r="C788" i="2"/>
  <c r="O787" i="2"/>
  <c r="N787" i="2"/>
  <c r="J787" i="2"/>
  <c r="H787" i="2"/>
  <c r="G787" i="2"/>
  <c r="C787" i="2"/>
  <c r="O786" i="2"/>
  <c r="N786" i="2"/>
  <c r="J786" i="2"/>
  <c r="H786" i="2"/>
  <c r="G786" i="2"/>
  <c r="C786" i="2"/>
  <c r="O785" i="2"/>
  <c r="N785" i="2"/>
  <c r="J785" i="2"/>
  <c r="H785" i="2"/>
  <c r="G785" i="2"/>
  <c r="C785" i="2"/>
  <c r="O784" i="2"/>
  <c r="N784" i="2"/>
  <c r="J784" i="2"/>
  <c r="H784" i="2"/>
  <c r="G784" i="2"/>
  <c r="C784" i="2"/>
  <c r="O783" i="2"/>
  <c r="J783" i="2"/>
  <c r="H783" i="2"/>
  <c r="G783" i="2"/>
  <c r="C783" i="2"/>
  <c r="O782" i="2"/>
  <c r="N782" i="2"/>
  <c r="J782" i="2"/>
  <c r="H782" i="2"/>
  <c r="G782" i="2"/>
  <c r="C782" i="2"/>
  <c r="O781" i="2"/>
  <c r="N781" i="2"/>
  <c r="J781" i="2"/>
  <c r="H781" i="2"/>
  <c r="G781" i="2"/>
  <c r="C781" i="2"/>
  <c r="O780" i="2"/>
  <c r="N780" i="2"/>
  <c r="J780" i="2"/>
  <c r="H780" i="2"/>
  <c r="G780" i="2"/>
  <c r="C780" i="2"/>
  <c r="O779" i="2"/>
  <c r="N779" i="2"/>
  <c r="J779" i="2"/>
  <c r="H779" i="2"/>
  <c r="G779" i="2"/>
  <c r="C779" i="2"/>
  <c r="O778" i="2"/>
  <c r="N778" i="2"/>
  <c r="J778" i="2"/>
  <c r="H778" i="2"/>
  <c r="G778" i="2"/>
  <c r="C778" i="2"/>
  <c r="O777" i="2"/>
  <c r="N777" i="2"/>
  <c r="J777" i="2"/>
  <c r="H777" i="2"/>
  <c r="G777" i="2"/>
  <c r="C777" i="2"/>
  <c r="O776" i="2"/>
  <c r="N776" i="2"/>
  <c r="J776" i="2"/>
  <c r="H776" i="2"/>
  <c r="G776" i="2"/>
  <c r="C776" i="2"/>
  <c r="O775" i="2"/>
  <c r="N775" i="2"/>
  <c r="J775" i="2"/>
  <c r="H775" i="2"/>
  <c r="G775" i="2"/>
  <c r="C775" i="2"/>
  <c r="O774" i="2"/>
  <c r="N774" i="2"/>
  <c r="J774" i="2"/>
  <c r="H774" i="2"/>
  <c r="G774" i="2"/>
  <c r="C774" i="2"/>
  <c r="O773" i="2"/>
  <c r="N773" i="2"/>
  <c r="J773" i="2"/>
  <c r="H773" i="2"/>
  <c r="G773" i="2"/>
  <c r="C773" i="2"/>
  <c r="O772" i="2"/>
  <c r="N772" i="2"/>
  <c r="J772" i="2"/>
  <c r="H772" i="2"/>
  <c r="G772" i="2"/>
  <c r="C772" i="2"/>
  <c r="O771" i="2"/>
  <c r="N771" i="2"/>
  <c r="J771" i="2"/>
  <c r="H771" i="2"/>
  <c r="G771" i="2"/>
  <c r="C771" i="2"/>
  <c r="O770" i="2"/>
  <c r="N770" i="2"/>
  <c r="J770" i="2"/>
  <c r="H770" i="2"/>
  <c r="G770" i="2"/>
  <c r="C770" i="2"/>
  <c r="O769" i="2"/>
  <c r="J769" i="2"/>
  <c r="H769" i="2"/>
  <c r="G769" i="2"/>
  <c r="C769" i="2"/>
  <c r="O768" i="2"/>
  <c r="N768" i="2"/>
  <c r="J768" i="2"/>
  <c r="H768" i="2"/>
  <c r="G768" i="2"/>
  <c r="C768" i="2"/>
  <c r="O767" i="2"/>
  <c r="N767" i="2"/>
  <c r="J767" i="2"/>
  <c r="H767" i="2"/>
  <c r="G767" i="2"/>
  <c r="C767" i="2"/>
  <c r="O766" i="2"/>
  <c r="N766" i="2"/>
  <c r="J766" i="2"/>
  <c r="H766" i="2"/>
  <c r="G766" i="2"/>
  <c r="C766" i="2"/>
  <c r="O765" i="2"/>
  <c r="N765" i="2"/>
  <c r="J765" i="2"/>
  <c r="H765" i="2"/>
  <c r="G765" i="2"/>
  <c r="C765" i="2"/>
  <c r="O764" i="2"/>
  <c r="N764" i="2"/>
  <c r="J764" i="2"/>
  <c r="H764" i="2"/>
  <c r="G764" i="2"/>
  <c r="C764" i="2"/>
  <c r="O763" i="2"/>
  <c r="N763" i="2"/>
  <c r="J763" i="2"/>
  <c r="H763" i="2"/>
  <c r="G763" i="2"/>
  <c r="C763" i="2"/>
  <c r="O762" i="2"/>
  <c r="J762" i="2"/>
  <c r="H762" i="2"/>
  <c r="G762" i="2"/>
  <c r="C762" i="2"/>
  <c r="O761" i="2"/>
  <c r="N761" i="2"/>
  <c r="J761" i="2"/>
  <c r="H761" i="2"/>
  <c r="G761" i="2"/>
  <c r="C761" i="2"/>
  <c r="O760" i="2"/>
  <c r="J760" i="2"/>
  <c r="H760" i="2"/>
  <c r="G760" i="2"/>
  <c r="C760" i="2"/>
  <c r="O759" i="2"/>
  <c r="N759" i="2"/>
  <c r="J759" i="2"/>
  <c r="H759" i="2"/>
  <c r="G759" i="2"/>
  <c r="C759" i="2"/>
  <c r="O758" i="2"/>
  <c r="N758" i="2"/>
  <c r="J758" i="2"/>
  <c r="H758" i="2"/>
  <c r="G758" i="2"/>
  <c r="C758" i="2"/>
  <c r="O757" i="2"/>
  <c r="N757" i="2"/>
  <c r="J757" i="2"/>
  <c r="H757" i="2"/>
  <c r="G757" i="2"/>
  <c r="C757" i="2"/>
  <c r="O755" i="2"/>
  <c r="N755" i="2"/>
  <c r="J755" i="2"/>
  <c r="H755" i="2"/>
  <c r="G755" i="2"/>
  <c r="C755" i="2"/>
  <c r="O754" i="2"/>
  <c r="N754" i="2"/>
  <c r="J754" i="2"/>
  <c r="H754" i="2"/>
  <c r="G754" i="2"/>
  <c r="C754" i="2"/>
  <c r="O753" i="2"/>
  <c r="J753" i="2"/>
  <c r="H753" i="2"/>
  <c r="G753" i="2"/>
  <c r="C753" i="2"/>
  <c r="O752" i="2"/>
  <c r="N752" i="2"/>
  <c r="J752" i="2"/>
  <c r="H752" i="2"/>
  <c r="G752" i="2"/>
  <c r="C752" i="2"/>
  <c r="O751" i="2"/>
  <c r="N751" i="2"/>
  <c r="J751" i="2"/>
  <c r="H751" i="2"/>
  <c r="G751" i="2"/>
  <c r="C751" i="2"/>
  <c r="O750" i="2"/>
  <c r="N750" i="2"/>
  <c r="J750" i="2"/>
  <c r="H750" i="2"/>
  <c r="G750" i="2"/>
  <c r="C750" i="2"/>
  <c r="O749" i="2"/>
  <c r="N749" i="2"/>
  <c r="J749" i="2"/>
  <c r="H749" i="2"/>
  <c r="G749" i="2"/>
  <c r="C749" i="2"/>
  <c r="O748" i="2"/>
  <c r="N748" i="2"/>
  <c r="J748" i="2"/>
  <c r="H748" i="2"/>
  <c r="G748" i="2"/>
  <c r="C748" i="2"/>
  <c r="O747" i="2"/>
  <c r="N747" i="2"/>
  <c r="J747" i="2"/>
  <c r="H747" i="2"/>
  <c r="G747" i="2"/>
  <c r="C747" i="2"/>
  <c r="O746" i="2"/>
  <c r="N746" i="2"/>
  <c r="J746" i="2"/>
  <c r="H746" i="2"/>
  <c r="G746" i="2"/>
  <c r="C746" i="2"/>
  <c r="O745" i="2"/>
  <c r="N745" i="2"/>
  <c r="J745" i="2"/>
  <c r="H745" i="2"/>
  <c r="G745" i="2"/>
  <c r="C745" i="2"/>
  <c r="O744" i="2"/>
  <c r="N744" i="2"/>
  <c r="J744" i="2"/>
  <c r="H744" i="2"/>
  <c r="G744" i="2"/>
  <c r="C744" i="2"/>
  <c r="O743" i="2"/>
  <c r="N743" i="2"/>
  <c r="J743" i="2"/>
  <c r="H743" i="2"/>
  <c r="G743" i="2"/>
  <c r="C743" i="2"/>
  <c r="O742" i="2"/>
  <c r="N742" i="2"/>
  <c r="J742" i="2"/>
  <c r="H742" i="2"/>
  <c r="G742" i="2"/>
  <c r="C742" i="2"/>
  <c r="J740" i="2"/>
  <c r="H740" i="2"/>
  <c r="G740" i="2"/>
  <c r="C740" i="2"/>
  <c r="O739" i="2"/>
  <c r="N739" i="2"/>
  <c r="J739" i="2"/>
  <c r="H739" i="2"/>
  <c r="G739" i="2"/>
  <c r="C739" i="2"/>
  <c r="O738" i="2"/>
  <c r="N738" i="2"/>
  <c r="J738" i="2"/>
  <c r="H738" i="2"/>
  <c r="G738" i="2"/>
  <c r="C738" i="2"/>
  <c r="O737" i="2"/>
  <c r="N737" i="2"/>
  <c r="J737" i="2"/>
  <c r="H737" i="2"/>
  <c r="G737" i="2"/>
  <c r="C737" i="2"/>
  <c r="O736" i="2"/>
  <c r="N736" i="2"/>
  <c r="J736" i="2"/>
  <c r="H736" i="2"/>
  <c r="G736" i="2"/>
  <c r="C736" i="2"/>
  <c r="O735" i="2"/>
  <c r="J735" i="2"/>
  <c r="H735" i="2"/>
  <c r="G735" i="2"/>
  <c r="C735" i="2"/>
  <c r="O734" i="2"/>
  <c r="J734" i="2"/>
  <c r="H734" i="2"/>
  <c r="G734" i="2"/>
  <c r="C734" i="2"/>
  <c r="O733" i="2"/>
  <c r="N733" i="2"/>
  <c r="J733" i="2"/>
  <c r="H733" i="2"/>
  <c r="G733" i="2"/>
  <c r="C733" i="2"/>
  <c r="O732" i="2"/>
  <c r="N732" i="2"/>
  <c r="J732" i="2"/>
  <c r="H732" i="2"/>
  <c r="G732" i="2"/>
  <c r="C732" i="2"/>
  <c r="O731" i="2"/>
  <c r="N731" i="2"/>
  <c r="J731" i="2"/>
  <c r="H731" i="2"/>
  <c r="G731" i="2"/>
  <c r="C731" i="2"/>
  <c r="O730" i="2"/>
  <c r="N730" i="2"/>
  <c r="J730" i="2"/>
  <c r="H730" i="2"/>
  <c r="G730" i="2"/>
  <c r="C730" i="2"/>
  <c r="O729" i="2"/>
  <c r="J729" i="2"/>
  <c r="H729" i="2"/>
  <c r="G729" i="2"/>
  <c r="C729" i="2"/>
  <c r="O728" i="2"/>
  <c r="N728" i="2"/>
  <c r="J728" i="2"/>
  <c r="H728" i="2"/>
  <c r="G728" i="2"/>
  <c r="C728" i="2"/>
  <c r="O727" i="2"/>
  <c r="N727" i="2"/>
  <c r="J727" i="2"/>
  <c r="H727" i="2"/>
  <c r="G727" i="2"/>
  <c r="C727" i="2"/>
  <c r="O726" i="2"/>
  <c r="N726" i="2"/>
  <c r="J726" i="2"/>
  <c r="H726" i="2"/>
  <c r="G726" i="2"/>
  <c r="C726" i="2"/>
  <c r="O725" i="2"/>
  <c r="N725" i="2"/>
  <c r="J725" i="2"/>
  <c r="H725" i="2"/>
  <c r="G725" i="2"/>
  <c r="C725" i="2"/>
  <c r="O724" i="2"/>
  <c r="N724" i="2"/>
  <c r="J724" i="2"/>
  <c r="H724" i="2"/>
  <c r="G724" i="2"/>
  <c r="C724" i="2"/>
  <c r="O723" i="2"/>
  <c r="N723" i="2"/>
  <c r="J723" i="2"/>
  <c r="H723" i="2"/>
  <c r="G723" i="2"/>
  <c r="C723" i="2"/>
  <c r="O722" i="2"/>
  <c r="N722" i="2"/>
  <c r="J722" i="2"/>
  <c r="H722" i="2"/>
  <c r="G722" i="2"/>
  <c r="C722" i="2"/>
  <c r="N721" i="2"/>
  <c r="J721" i="2"/>
  <c r="H721" i="2"/>
  <c r="G721" i="2"/>
  <c r="C721" i="2"/>
  <c r="O720" i="2"/>
  <c r="N720" i="2"/>
  <c r="J720" i="2"/>
  <c r="H720" i="2"/>
  <c r="G720" i="2"/>
  <c r="C720" i="2"/>
  <c r="O719" i="2"/>
  <c r="N719" i="2"/>
  <c r="J719" i="2"/>
  <c r="H719" i="2"/>
  <c r="G719" i="2"/>
  <c r="C719" i="2"/>
  <c r="O718" i="2"/>
  <c r="J718" i="2"/>
  <c r="H718" i="2"/>
  <c r="G718" i="2"/>
  <c r="C718" i="2"/>
  <c r="O717" i="2"/>
  <c r="N717" i="2"/>
  <c r="J717" i="2"/>
  <c r="H717" i="2"/>
  <c r="G717" i="2"/>
  <c r="C717" i="2"/>
  <c r="O716" i="2"/>
  <c r="N716" i="2"/>
  <c r="J716" i="2"/>
  <c r="H716" i="2"/>
  <c r="G716" i="2"/>
  <c r="C716" i="2"/>
  <c r="O715" i="2"/>
  <c r="N715" i="2"/>
  <c r="J715" i="2"/>
  <c r="H715" i="2"/>
  <c r="G715" i="2"/>
  <c r="C715" i="2"/>
  <c r="O711" i="2"/>
  <c r="N711" i="2"/>
  <c r="J711" i="2"/>
  <c r="H711" i="2"/>
  <c r="G711" i="2"/>
  <c r="C711" i="2"/>
  <c r="O710" i="2"/>
  <c r="N710" i="2"/>
  <c r="J710" i="2"/>
  <c r="H710" i="2"/>
  <c r="G710" i="2"/>
  <c r="C710" i="2"/>
  <c r="O709" i="2"/>
  <c r="J709" i="2"/>
  <c r="H709" i="2"/>
  <c r="G709" i="2"/>
  <c r="C709" i="2"/>
  <c r="O708" i="2"/>
  <c r="N708" i="2"/>
  <c r="J708" i="2"/>
  <c r="H708" i="2"/>
  <c r="G708" i="2"/>
  <c r="C708" i="2"/>
  <c r="O707" i="2"/>
  <c r="N707" i="2"/>
  <c r="J707" i="2"/>
  <c r="H707" i="2"/>
  <c r="G707" i="2"/>
  <c r="C707" i="2"/>
  <c r="O706" i="2"/>
  <c r="J706" i="2"/>
  <c r="H706" i="2"/>
  <c r="G706" i="2"/>
  <c r="C706" i="2"/>
  <c r="O705" i="2"/>
  <c r="N705" i="2"/>
  <c r="J705" i="2"/>
  <c r="H705" i="2"/>
  <c r="G705" i="2"/>
  <c r="C705" i="2"/>
  <c r="O703" i="2"/>
  <c r="N703" i="2"/>
  <c r="J703" i="2"/>
  <c r="H703" i="2"/>
  <c r="G703" i="2"/>
  <c r="C703" i="2"/>
  <c r="O702" i="2"/>
  <c r="N702" i="2"/>
  <c r="J702" i="2"/>
  <c r="H702" i="2"/>
  <c r="G702" i="2"/>
  <c r="C702" i="2"/>
  <c r="O701" i="2"/>
  <c r="N701" i="2"/>
  <c r="J701" i="2"/>
  <c r="H701" i="2"/>
  <c r="G701" i="2"/>
  <c r="C701" i="2"/>
  <c r="N700" i="2"/>
  <c r="J700" i="2"/>
  <c r="H700" i="2"/>
  <c r="G700" i="2"/>
  <c r="C700" i="2"/>
  <c r="O699" i="2"/>
  <c r="N699" i="2"/>
  <c r="J699" i="2"/>
  <c r="H699" i="2"/>
  <c r="G699" i="2"/>
  <c r="C699" i="2"/>
  <c r="O698" i="2"/>
  <c r="N698" i="2"/>
  <c r="J698" i="2"/>
  <c r="H698" i="2"/>
  <c r="G698" i="2"/>
  <c r="C698" i="2"/>
  <c r="O697" i="2"/>
  <c r="N697" i="2"/>
  <c r="J697" i="2"/>
  <c r="H697" i="2"/>
  <c r="G697" i="2"/>
  <c r="C697" i="2"/>
  <c r="O693" i="2"/>
  <c r="N693" i="2"/>
  <c r="J693" i="2"/>
  <c r="H693" i="2"/>
  <c r="G693" i="2"/>
  <c r="C693" i="2"/>
  <c r="O679" i="2"/>
  <c r="N679" i="2"/>
  <c r="J679" i="2"/>
  <c r="H679" i="2"/>
  <c r="G679" i="2"/>
  <c r="C679" i="2"/>
  <c r="O672" i="2"/>
  <c r="N672" i="2"/>
  <c r="J672" i="2"/>
  <c r="H672" i="2"/>
  <c r="G672" i="2"/>
  <c r="C672" i="2"/>
  <c r="O671" i="2"/>
  <c r="N671" i="2"/>
  <c r="J671" i="2"/>
  <c r="H671" i="2"/>
  <c r="G671" i="2"/>
  <c r="C671" i="2"/>
  <c r="O670" i="2"/>
  <c r="N670" i="2"/>
  <c r="J670" i="2"/>
  <c r="H670" i="2"/>
  <c r="G670" i="2"/>
  <c r="C670" i="2"/>
  <c r="O669" i="2"/>
  <c r="N669" i="2"/>
  <c r="J669" i="2"/>
  <c r="H669" i="2"/>
  <c r="G669" i="2"/>
  <c r="C669" i="2"/>
  <c r="O668" i="2"/>
  <c r="N668" i="2"/>
  <c r="J668" i="2"/>
  <c r="H668" i="2"/>
  <c r="G668" i="2"/>
  <c r="C668" i="2"/>
  <c r="O667" i="2"/>
  <c r="N667" i="2"/>
  <c r="J667" i="2"/>
  <c r="H667" i="2"/>
  <c r="G667" i="2"/>
  <c r="C667" i="2"/>
  <c r="O666" i="2"/>
  <c r="N666" i="2"/>
  <c r="J666" i="2"/>
  <c r="H666" i="2"/>
  <c r="G666" i="2"/>
  <c r="C666" i="2"/>
  <c r="O664" i="2"/>
  <c r="N664" i="2"/>
  <c r="J664" i="2"/>
  <c r="H664" i="2"/>
  <c r="G664" i="2"/>
  <c r="C664" i="2"/>
  <c r="N663" i="2"/>
  <c r="J663" i="2"/>
  <c r="H663" i="2"/>
  <c r="G663" i="2"/>
  <c r="C663" i="2"/>
  <c r="O662" i="2"/>
  <c r="J662" i="2"/>
  <c r="H662" i="2"/>
  <c r="G662" i="2"/>
  <c r="C662" i="2"/>
  <c r="O660" i="2"/>
  <c r="N660" i="2"/>
  <c r="J660" i="2"/>
  <c r="H660" i="2"/>
  <c r="G660" i="2"/>
  <c r="C660" i="2"/>
  <c r="O659" i="2"/>
  <c r="N659" i="2"/>
  <c r="J659" i="2"/>
  <c r="H659" i="2"/>
  <c r="G659" i="2"/>
  <c r="C659" i="2"/>
  <c r="O658" i="2"/>
  <c r="J658" i="2"/>
  <c r="H658" i="2"/>
  <c r="G658" i="2"/>
  <c r="C658" i="2"/>
  <c r="O657" i="2"/>
  <c r="N657" i="2"/>
  <c r="J657" i="2"/>
  <c r="H657" i="2"/>
  <c r="G657" i="2"/>
  <c r="C657" i="2"/>
  <c r="O656" i="2"/>
  <c r="N656" i="2"/>
  <c r="J656" i="2"/>
  <c r="H656" i="2"/>
  <c r="G656" i="2"/>
  <c r="C656" i="2"/>
  <c r="O653" i="2"/>
  <c r="N653" i="2"/>
  <c r="J653" i="2"/>
  <c r="H653" i="2"/>
  <c r="G653" i="2"/>
  <c r="C653" i="2"/>
  <c r="O652" i="2"/>
  <c r="N652" i="2"/>
  <c r="J652" i="2"/>
  <c r="H652" i="2"/>
  <c r="G652" i="2"/>
  <c r="C652" i="2"/>
  <c r="O651" i="2"/>
  <c r="N651" i="2"/>
  <c r="J651" i="2"/>
  <c r="H651" i="2"/>
  <c r="G651" i="2"/>
  <c r="C651" i="2"/>
  <c r="O649" i="2"/>
  <c r="N649" i="2"/>
  <c r="J649" i="2"/>
  <c r="H649" i="2"/>
  <c r="G649" i="2"/>
  <c r="C649" i="2"/>
  <c r="O647" i="2"/>
  <c r="N647" i="2"/>
  <c r="J647" i="2"/>
  <c r="H647" i="2"/>
  <c r="G647" i="2"/>
  <c r="C647" i="2"/>
  <c r="O644" i="2"/>
  <c r="N644" i="2"/>
  <c r="J644" i="2"/>
  <c r="H644" i="2"/>
  <c r="G644" i="2"/>
  <c r="C644" i="2"/>
  <c r="O643" i="2"/>
  <c r="N643" i="2"/>
  <c r="J643" i="2"/>
  <c r="H643" i="2"/>
  <c r="G643" i="2"/>
  <c r="C643" i="2"/>
  <c r="J642" i="2"/>
  <c r="H642" i="2"/>
  <c r="G642" i="2"/>
  <c r="C642" i="2"/>
  <c r="J641" i="2"/>
  <c r="H641" i="2"/>
  <c r="G641" i="2"/>
  <c r="C641" i="2"/>
  <c r="O640" i="2"/>
  <c r="J640" i="2"/>
  <c r="H640" i="2"/>
  <c r="G640" i="2"/>
  <c r="C640" i="2"/>
  <c r="O634" i="2"/>
  <c r="N634" i="2"/>
  <c r="J634" i="2"/>
  <c r="H634" i="2"/>
  <c r="G634" i="2"/>
  <c r="C634" i="2"/>
  <c r="O633" i="2"/>
  <c r="N633" i="2"/>
  <c r="J633" i="2"/>
  <c r="H633" i="2"/>
  <c r="G633" i="2"/>
  <c r="C633" i="2"/>
  <c r="O632" i="2"/>
  <c r="N632" i="2"/>
  <c r="J632" i="2"/>
  <c r="H632" i="2"/>
  <c r="G632" i="2"/>
  <c r="C632" i="2"/>
  <c r="O631" i="2"/>
  <c r="J631" i="2"/>
  <c r="H631" i="2"/>
  <c r="G631" i="2"/>
  <c r="C631" i="2"/>
  <c r="O630" i="2"/>
  <c r="N630" i="2"/>
  <c r="J630" i="2"/>
  <c r="H630" i="2"/>
  <c r="G630" i="2"/>
  <c r="C630" i="2"/>
  <c r="O629" i="2"/>
  <c r="J629" i="2"/>
  <c r="H629" i="2"/>
  <c r="G629" i="2"/>
  <c r="C629" i="2"/>
  <c r="O628" i="2"/>
  <c r="J628" i="2"/>
  <c r="H628" i="2"/>
  <c r="G628" i="2"/>
  <c r="C628" i="2"/>
  <c r="O627" i="2"/>
  <c r="N627" i="2"/>
  <c r="J627" i="2"/>
  <c r="H627" i="2"/>
  <c r="G627" i="2"/>
  <c r="C627" i="2"/>
  <c r="O626" i="2"/>
  <c r="N626" i="2"/>
  <c r="J626" i="2"/>
  <c r="H626" i="2"/>
  <c r="G626" i="2"/>
  <c r="C626" i="2"/>
  <c r="O625" i="2"/>
  <c r="N625" i="2"/>
  <c r="J625" i="2"/>
  <c r="H625" i="2"/>
  <c r="G625" i="2"/>
  <c r="C625" i="2"/>
  <c r="O624" i="2"/>
  <c r="J624" i="2"/>
  <c r="H624" i="2"/>
  <c r="G624" i="2"/>
  <c r="C624" i="2"/>
  <c r="O623" i="2"/>
  <c r="N623" i="2"/>
  <c r="J623" i="2"/>
  <c r="H623" i="2"/>
  <c r="G623" i="2"/>
  <c r="C623" i="2"/>
  <c r="O622" i="2"/>
  <c r="N622" i="2"/>
  <c r="J622" i="2"/>
  <c r="H622" i="2"/>
  <c r="G622" i="2"/>
  <c r="C622" i="2"/>
  <c r="O621" i="2"/>
  <c r="N621" i="2"/>
  <c r="J621" i="2"/>
  <c r="H621" i="2"/>
  <c r="G621" i="2"/>
  <c r="C621" i="2"/>
  <c r="O620" i="2"/>
  <c r="N620" i="2"/>
  <c r="J620" i="2"/>
  <c r="H620" i="2"/>
  <c r="G620" i="2"/>
  <c r="C620" i="2"/>
  <c r="O611" i="2"/>
  <c r="N611" i="2"/>
  <c r="J611" i="2"/>
  <c r="H611" i="2"/>
  <c r="G611" i="2"/>
  <c r="C611" i="2"/>
  <c r="O610" i="2"/>
  <c r="N610" i="2"/>
  <c r="J610" i="2"/>
  <c r="H610" i="2"/>
  <c r="G610" i="2"/>
  <c r="C610" i="2"/>
  <c r="O609" i="2"/>
  <c r="N609" i="2"/>
  <c r="J609" i="2"/>
  <c r="H609" i="2"/>
  <c r="G609" i="2"/>
  <c r="C609" i="2"/>
  <c r="O608" i="2"/>
  <c r="J608" i="2"/>
  <c r="H608" i="2"/>
  <c r="G608" i="2"/>
  <c r="C608" i="2"/>
  <c r="O607" i="2"/>
  <c r="N607" i="2"/>
  <c r="J607" i="2"/>
  <c r="H607" i="2"/>
  <c r="G607" i="2"/>
  <c r="C607" i="2"/>
  <c r="O606" i="2"/>
  <c r="J606" i="2"/>
  <c r="H606" i="2"/>
  <c r="G606" i="2"/>
  <c r="C606" i="2"/>
  <c r="O605" i="2"/>
  <c r="N605" i="2"/>
  <c r="J605" i="2"/>
  <c r="H605" i="2"/>
  <c r="G605" i="2"/>
  <c r="C605" i="2"/>
  <c r="O603" i="2"/>
  <c r="N603" i="2"/>
  <c r="J603" i="2"/>
  <c r="H603" i="2"/>
  <c r="G603" i="2"/>
  <c r="C603" i="2"/>
  <c r="O602" i="2"/>
  <c r="N602" i="2"/>
  <c r="J602" i="2"/>
  <c r="H602" i="2"/>
  <c r="G602" i="2"/>
  <c r="C602" i="2"/>
  <c r="J601" i="2"/>
  <c r="H601" i="2"/>
  <c r="G601" i="2"/>
  <c r="C601" i="2"/>
  <c r="O600" i="2"/>
  <c r="N600" i="2"/>
  <c r="J600" i="2"/>
  <c r="H600" i="2"/>
  <c r="G600" i="2"/>
  <c r="C600" i="2"/>
  <c r="O599" i="2"/>
  <c r="N599" i="2"/>
  <c r="J599" i="2"/>
  <c r="H599" i="2"/>
  <c r="G599" i="2"/>
  <c r="C599" i="2"/>
  <c r="O598" i="2"/>
  <c r="N598" i="2"/>
  <c r="J598" i="2"/>
  <c r="H598" i="2"/>
  <c r="G598" i="2"/>
  <c r="C598" i="2"/>
  <c r="O597" i="2"/>
  <c r="N597" i="2"/>
  <c r="J597" i="2"/>
  <c r="H597" i="2"/>
  <c r="G597" i="2"/>
  <c r="C597" i="2"/>
  <c r="O596" i="2"/>
  <c r="J596" i="2"/>
  <c r="H596" i="2"/>
  <c r="G596" i="2"/>
  <c r="C596" i="2"/>
  <c r="O595" i="2"/>
  <c r="N595" i="2"/>
  <c r="J595" i="2"/>
  <c r="H595" i="2"/>
  <c r="G595" i="2"/>
  <c r="C595" i="2"/>
  <c r="O594" i="2"/>
  <c r="N594" i="2"/>
  <c r="J594" i="2"/>
  <c r="H594" i="2"/>
  <c r="G594" i="2"/>
  <c r="C594" i="2"/>
  <c r="O593" i="2"/>
  <c r="N593" i="2"/>
  <c r="J593" i="2"/>
  <c r="H593" i="2"/>
  <c r="G593" i="2"/>
  <c r="C593" i="2"/>
  <c r="O592" i="2"/>
  <c r="N592" i="2"/>
  <c r="J592" i="2"/>
  <c r="H592" i="2"/>
  <c r="G592" i="2"/>
  <c r="C592" i="2"/>
  <c r="O591" i="2"/>
  <c r="N591" i="2"/>
  <c r="J591" i="2"/>
  <c r="H591" i="2"/>
  <c r="G591" i="2"/>
  <c r="C591" i="2"/>
  <c r="O590" i="2"/>
  <c r="N590" i="2"/>
  <c r="J590" i="2"/>
  <c r="H590" i="2"/>
  <c r="G590" i="2"/>
  <c r="C590" i="2"/>
  <c r="O589" i="2"/>
  <c r="N589" i="2"/>
  <c r="J589" i="2"/>
  <c r="H589" i="2"/>
  <c r="G589" i="2"/>
  <c r="C589" i="2"/>
  <c r="O588" i="2"/>
  <c r="N588" i="2"/>
  <c r="J588" i="2"/>
  <c r="H588" i="2"/>
  <c r="G588" i="2"/>
  <c r="C588" i="2"/>
  <c r="O587" i="2"/>
  <c r="N587" i="2"/>
  <c r="J587" i="2"/>
  <c r="H587" i="2"/>
  <c r="G587" i="2"/>
  <c r="C587" i="2"/>
  <c r="O586" i="2"/>
  <c r="N586" i="2"/>
  <c r="J586" i="2"/>
  <c r="H586" i="2"/>
  <c r="G586" i="2"/>
  <c r="C586" i="2"/>
  <c r="O585" i="2"/>
  <c r="N585" i="2"/>
  <c r="J585" i="2"/>
  <c r="H585" i="2"/>
  <c r="G585" i="2"/>
  <c r="C585" i="2"/>
  <c r="O584" i="2"/>
  <c r="N584" i="2"/>
  <c r="J584" i="2"/>
  <c r="H584" i="2"/>
  <c r="G584" i="2"/>
  <c r="C584" i="2"/>
  <c r="O583" i="2"/>
  <c r="N583" i="2"/>
  <c r="J583" i="2"/>
  <c r="H583" i="2"/>
  <c r="G583" i="2"/>
  <c r="C583" i="2"/>
  <c r="O582" i="2"/>
  <c r="N582" i="2"/>
  <c r="J582" i="2"/>
  <c r="H582" i="2"/>
  <c r="G582" i="2"/>
  <c r="C582" i="2"/>
  <c r="O581" i="2"/>
  <c r="N581" i="2"/>
  <c r="J581" i="2"/>
  <c r="H581" i="2"/>
  <c r="G581" i="2"/>
  <c r="C581" i="2"/>
  <c r="O580" i="2"/>
  <c r="N580" i="2"/>
  <c r="J580" i="2"/>
  <c r="H580" i="2"/>
  <c r="G580" i="2"/>
  <c r="C580" i="2"/>
  <c r="O579" i="2"/>
  <c r="J579" i="2"/>
  <c r="H579" i="2"/>
  <c r="G579" i="2"/>
  <c r="C579" i="2"/>
  <c r="O578" i="2"/>
  <c r="N578" i="2"/>
  <c r="J578" i="2"/>
  <c r="H578" i="2"/>
  <c r="G578" i="2"/>
  <c r="C578" i="2"/>
  <c r="O577" i="2"/>
  <c r="N577" i="2"/>
  <c r="J577" i="2"/>
  <c r="H577" i="2"/>
  <c r="G577" i="2"/>
  <c r="C577" i="2"/>
  <c r="O576" i="2"/>
  <c r="N576" i="2"/>
  <c r="J576" i="2"/>
  <c r="H576" i="2"/>
  <c r="G576" i="2"/>
  <c r="C576" i="2"/>
  <c r="O575" i="2"/>
  <c r="N575" i="2"/>
  <c r="J575" i="2"/>
  <c r="H575" i="2"/>
  <c r="G575" i="2"/>
  <c r="C575" i="2"/>
  <c r="O574" i="2"/>
  <c r="N574" i="2"/>
  <c r="J574" i="2"/>
  <c r="H574" i="2"/>
  <c r="G574" i="2"/>
  <c r="C574" i="2"/>
  <c r="O573" i="2"/>
  <c r="J573" i="2"/>
  <c r="H573" i="2"/>
  <c r="G573" i="2"/>
  <c r="C573" i="2"/>
  <c r="J572" i="2"/>
  <c r="H572" i="2"/>
  <c r="G572" i="2"/>
  <c r="C572" i="2"/>
  <c r="O571" i="2"/>
  <c r="N571" i="2"/>
  <c r="J571" i="2"/>
  <c r="H571" i="2"/>
  <c r="G571" i="2"/>
  <c r="C571" i="2"/>
  <c r="N570" i="2"/>
  <c r="J570" i="2"/>
  <c r="H570" i="2"/>
  <c r="G570" i="2"/>
  <c r="C570" i="2"/>
  <c r="O569" i="2"/>
  <c r="N569" i="2"/>
  <c r="J569" i="2"/>
  <c r="H569" i="2"/>
  <c r="G569" i="2"/>
  <c r="C569" i="2"/>
  <c r="O568" i="2"/>
  <c r="N568" i="2"/>
  <c r="J568" i="2"/>
  <c r="H568" i="2"/>
  <c r="G568" i="2"/>
  <c r="C568" i="2"/>
  <c r="O567" i="2"/>
  <c r="N567" i="2"/>
  <c r="J567" i="2"/>
  <c r="H567" i="2"/>
  <c r="G567" i="2"/>
  <c r="C567" i="2"/>
  <c r="O566" i="2"/>
  <c r="N566" i="2"/>
  <c r="J566" i="2"/>
  <c r="H566" i="2"/>
  <c r="G566" i="2"/>
  <c r="C566" i="2"/>
  <c r="O565" i="2"/>
  <c r="N565" i="2"/>
  <c r="J565" i="2"/>
  <c r="H565" i="2"/>
  <c r="G565" i="2"/>
  <c r="C565" i="2"/>
  <c r="O564" i="2"/>
  <c r="N564" i="2"/>
  <c r="J564" i="2"/>
  <c r="H564" i="2"/>
  <c r="G564" i="2"/>
  <c r="C564" i="2"/>
  <c r="O563" i="2"/>
  <c r="N563" i="2"/>
  <c r="J563" i="2"/>
  <c r="H563" i="2"/>
  <c r="G563" i="2"/>
  <c r="C563" i="2"/>
  <c r="O562" i="2"/>
  <c r="N562" i="2"/>
  <c r="J562" i="2"/>
  <c r="H562" i="2"/>
  <c r="G562" i="2"/>
  <c r="C562" i="2"/>
  <c r="O561" i="2"/>
  <c r="N561" i="2"/>
  <c r="J561" i="2"/>
  <c r="H561" i="2"/>
  <c r="G561" i="2"/>
  <c r="C561" i="2"/>
  <c r="O560" i="2"/>
  <c r="J560" i="2"/>
  <c r="H560" i="2"/>
  <c r="G560" i="2"/>
  <c r="C560" i="2"/>
  <c r="O559" i="2"/>
  <c r="J559" i="2"/>
  <c r="H559" i="2"/>
  <c r="G559" i="2"/>
  <c r="C559" i="2"/>
  <c r="O558" i="2"/>
  <c r="N558" i="2"/>
  <c r="J558" i="2"/>
  <c r="H558" i="2"/>
  <c r="G558" i="2"/>
  <c r="C558" i="2"/>
  <c r="O557" i="2"/>
  <c r="J557" i="2"/>
  <c r="H557" i="2"/>
  <c r="G557" i="2"/>
  <c r="C557" i="2"/>
  <c r="O556" i="2"/>
  <c r="N556" i="2"/>
  <c r="J556" i="2"/>
  <c r="H556" i="2"/>
  <c r="G556" i="2"/>
  <c r="C556" i="2"/>
  <c r="O555" i="2"/>
  <c r="N555" i="2"/>
  <c r="J555" i="2"/>
  <c r="H555" i="2"/>
  <c r="G555" i="2"/>
  <c r="C555" i="2"/>
  <c r="O554" i="2"/>
  <c r="N554" i="2"/>
  <c r="J554" i="2"/>
  <c r="H554" i="2"/>
  <c r="G554" i="2"/>
  <c r="C554" i="2"/>
  <c r="O553" i="2"/>
  <c r="N553" i="2"/>
  <c r="J553" i="2"/>
  <c r="H553" i="2"/>
  <c r="G553" i="2"/>
  <c r="C553" i="2"/>
  <c r="O552" i="2"/>
  <c r="N552" i="2"/>
  <c r="J552" i="2"/>
  <c r="H552" i="2"/>
  <c r="G552" i="2"/>
  <c r="C552" i="2"/>
  <c r="O551" i="2"/>
  <c r="J551" i="2"/>
  <c r="H551" i="2"/>
  <c r="G551" i="2"/>
  <c r="C551" i="2"/>
  <c r="O550" i="2"/>
  <c r="N550" i="2"/>
  <c r="J550" i="2"/>
  <c r="H550" i="2"/>
  <c r="G550" i="2"/>
  <c r="C550" i="2"/>
  <c r="O549" i="2"/>
  <c r="N549" i="2"/>
  <c r="J549" i="2"/>
  <c r="H549" i="2"/>
  <c r="G549" i="2"/>
  <c r="C549" i="2"/>
  <c r="J548" i="2"/>
  <c r="H548" i="2"/>
  <c r="G548" i="2"/>
  <c r="C548" i="2"/>
  <c r="O547" i="2"/>
  <c r="N547" i="2"/>
  <c r="J547" i="2"/>
  <c r="H547" i="2"/>
  <c r="G547" i="2"/>
  <c r="C547" i="2"/>
  <c r="O545" i="2"/>
  <c r="N545" i="2"/>
  <c r="J545" i="2"/>
  <c r="H545" i="2"/>
  <c r="G545" i="2"/>
  <c r="C545" i="2"/>
  <c r="O544" i="2"/>
  <c r="N544" i="2"/>
  <c r="J544" i="2"/>
  <c r="H544" i="2"/>
  <c r="G544" i="2"/>
  <c r="C544" i="2"/>
  <c r="O543" i="2"/>
  <c r="N543" i="2"/>
  <c r="J543" i="2"/>
  <c r="H543" i="2"/>
  <c r="G543" i="2"/>
  <c r="C543" i="2"/>
  <c r="J542" i="2"/>
  <c r="H542" i="2"/>
  <c r="G542" i="2"/>
  <c r="C542" i="2"/>
  <c r="O541" i="2"/>
  <c r="N541" i="2"/>
  <c r="J541" i="2"/>
  <c r="H541" i="2"/>
  <c r="G541" i="2"/>
  <c r="C541" i="2"/>
  <c r="O540" i="2"/>
  <c r="N540" i="2"/>
  <c r="J540" i="2"/>
  <c r="H540" i="2"/>
  <c r="G540" i="2"/>
  <c r="C540" i="2"/>
  <c r="O539" i="2"/>
  <c r="J539" i="2"/>
  <c r="H539" i="2"/>
  <c r="G539" i="2"/>
  <c r="C539" i="2"/>
  <c r="O538" i="2"/>
  <c r="N538" i="2"/>
  <c r="J538" i="2"/>
  <c r="H538" i="2"/>
  <c r="G538" i="2"/>
  <c r="C538" i="2"/>
  <c r="O537" i="2"/>
  <c r="J537" i="2"/>
  <c r="H537" i="2"/>
  <c r="G537" i="2"/>
  <c r="C537" i="2"/>
  <c r="O536" i="2"/>
  <c r="N536" i="2"/>
  <c r="J536" i="2"/>
  <c r="H536" i="2"/>
  <c r="G536" i="2"/>
  <c r="C536" i="2"/>
  <c r="O535" i="2"/>
  <c r="N535" i="2"/>
  <c r="J535" i="2"/>
  <c r="H535" i="2"/>
  <c r="G535" i="2"/>
  <c r="C535" i="2"/>
  <c r="O534" i="2"/>
  <c r="N534" i="2"/>
  <c r="J534" i="2"/>
  <c r="H534" i="2"/>
  <c r="G534" i="2"/>
  <c r="C534" i="2"/>
  <c r="O533" i="2"/>
  <c r="N533" i="2"/>
  <c r="J533" i="2"/>
  <c r="H533" i="2"/>
  <c r="G533" i="2"/>
  <c r="C533" i="2"/>
  <c r="O532" i="2"/>
  <c r="N532" i="2"/>
  <c r="J532" i="2"/>
  <c r="H532" i="2"/>
  <c r="G532" i="2"/>
  <c r="C532" i="2"/>
  <c r="O531" i="2"/>
  <c r="N531" i="2"/>
  <c r="J531" i="2"/>
  <c r="H531" i="2"/>
  <c r="G531" i="2"/>
  <c r="C531" i="2"/>
  <c r="O530" i="2"/>
  <c r="N530" i="2"/>
  <c r="J530" i="2"/>
  <c r="H530" i="2"/>
  <c r="G530" i="2"/>
  <c r="C530" i="2"/>
  <c r="O529" i="2"/>
  <c r="N529" i="2"/>
  <c r="J529" i="2"/>
  <c r="H529" i="2"/>
  <c r="G529" i="2"/>
  <c r="C529" i="2"/>
  <c r="O528" i="2"/>
  <c r="N528" i="2"/>
  <c r="J528" i="2"/>
  <c r="H528" i="2"/>
  <c r="G528" i="2"/>
  <c r="C528" i="2"/>
  <c r="O527" i="2"/>
  <c r="N527" i="2"/>
  <c r="J527" i="2"/>
  <c r="H527" i="2"/>
  <c r="G527" i="2"/>
  <c r="C527" i="2"/>
  <c r="O526" i="2"/>
  <c r="N526" i="2"/>
  <c r="J526" i="2"/>
  <c r="H526" i="2"/>
  <c r="G526" i="2"/>
  <c r="C526" i="2"/>
  <c r="O521" i="2"/>
  <c r="N521" i="2"/>
  <c r="J521" i="2"/>
  <c r="H521" i="2"/>
  <c r="G521" i="2"/>
  <c r="C521" i="2"/>
  <c r="O512" i="2"/>
  <c r="N512" i="2"/>
  <c r="J512" i="2"/>
  <c r="H512" i="2"/>
  <c r="G512" i="2"/>
  <c r="C512" i="2"/>
  <c r="O511" i="2"/>
  <c r="N511" i="2"/>
  <c r="J511" i="2"/>
  <c r="H511" i="2"/>
  <c r="G511" i="2"/>
  <c r="C511" i="2"/>
  <c r="O510" i="2"/>
  <c r="N510" i="2"/>
  <c r="J510" i="2"/>
  <c r="H510" i="2"/>
  <c r="G510" i="2"/>
  <c r="C510" i="2"/>
  <c r="O509" i="2"/>
  <c r="N509" i="2"/>
  <c r="J509" i="2"/>
  <c r="H509" i="2"/>
  <c r="G509" i="2"/>
  <c r="C509" i="2"/>
  <c r="O508" i="2"/>
  <c r="N508" i="2"/>
  <c r="J508" i="2"/>
  <c r="H508" i="2"/>
  <c r="G508" i="2"/>
  <c r="C508" i="2"/>
  <c r="O507" i="2"/>
  <c r="N507" i="2"/>
  <c r="J507" i="2"/>
  <c r="H507" i="2"/>
  <c r="G507" i="2"/>
  <c r="C507" i="2"/>
  <c r="O506" i="2"/>
  <c r="N506" i="2"/>
  <c r="J506" i="2"/>
  <c r="H506" i="2"/>
  <c r="G506" i="2"/>
  <c r="C506" i="2"/>
  <c r="O505" i="2"/>
  <c r="N505" i="2"/>
  <c r="J505" i="2"/>
  <c r="H505" i="2"/>
  <c r="G505" i="2"/>
  <c r="C505" i="2"/>
  <c r="O504" i="2"/>
  <c r="N504" i="2"/>
  <c r="J504" i="2"/>
  <c r="H504" i="2"/>
  <c r="G504" i="2"/>
  <c r="C504" i="2"/>
  <c r="O503" i="2"/>
  <c r="N503" i="2"/>
  <c r="J503" i="2"/>
  <c r="H503" i="2"/>
  <c r="G503" i="2"/>
  <c r="C503" i="2"/>
  <c r="O502" i="2"/>
  <c r="N502" i="2"/>
  <c r="J502" i="2"/>
  <c r="H502" i="2"/>
  <c r="G502" i="2"/>
  <c r="C502" i="2"/>
  <c r="O501" i="2"/>
  <c r="N501" i="2"/>
  <c r="J501" i="2"/>
  <c r="H501" i="2"/>
  <c r="G501" i="2"/>
  <c r="C501" i="2"/>
  <c r="O500" i="2"/>
  <c r="N500" i="2"/>
  <c r="J500" i="2"/>
  <c r="H500" i="2"/>
  <c r="G500" i="2"/>
  <c r="C500" i="2"/>
  <c r="O499" i="2"/>
  <c r="N499" i="2"/>
  <c r="J499" i="2"/>
  <c r="H499" i="2"/>
  <c r="G499" i="2"/>
  <c r="C499" i="2"/>
  <c r="O498" i="2"/>
  <c r="N498" i="2"/>
  <c r="J498" i="2"/>
  <c r="H498" i="2"/>
  <c r="G498" i="2"/>
  <c r="C498" i="2"/>
  <c r="O497" i="2"/>
  <c r="N497" i="2"/>
  <c r="J497" i="2"/>
  <c r="H497" i="2"/>
  <c r="G497" i="2"/>
  <c r="C497" i="2"/>
  <c r="O496" i="2"/>
  <c r="N496" i="2"/>
  <c r="J496" i="2"/>
  <c r="H496" i="2"/>
  <c r="G496" i="2"/>
  <c r="C496" i="2"/>
  <c r="O495" i="2"/>
  <c r="N495" i="2"/>
  <c r="J495" i="2"/>
  <c r="H495" i="2"/>
  <c r="G495" i="2"/>
  <c r="C495" i="2"/>
  <c r="O494" i="2"/>
  <c r="N494" i="2"/>
  <c r="J494" i="2"/>
  <c r="H494" i="2"/>
  <c r="G494" i="2"/>
  <c r="C494" i="2"/>
  <c r="O493" i="2"/>
  <c r="N493" i="2"/>
  <c r="J493" i="2"/>
  <c r="H493" i="2"/>
  <c r="G493" i="2"/>
  <c r="C493" i="2"/>
  <c r="O492" i="2"/>
  <c r="N492" i="2"/>
  <c r="J492" i="2"/>
  <c r="H492" i="2"/>
  <c r="G492" i="2"/>
  <c r="C492" i="2"/>
  <c r="O491" i="2"/>
  <c r="N491" i="2"/>
  <c r="J491" i="2"/>
  <c r="H491" i="2"/>
  <c r="G491" i="2"/>
  <c r="C491" i="2"/>
  <c r="O490" i="2"/>
  <c r="N490" i="2"/>
  <c r="J490" i="2"/>
  <c r="H490" i="2"/>
  <c r="G490" i="2"/>
  <c r="C490" i="2"/>
  <c r="O489" i="2"/>
  <c r="N489" i="2"/>
  <c r="J489" i="2"/>
  <c r="H489" i="2"/>
  <c r="G489" i="2"/>
  <c r="C489" i="2"/>
  <c r="O488" i="2"/>
  <c r="J488" i="2"/>
  <c r="H488" i="2"/>
  <c r="G488" i="2"/>
  <c r="C488" i="2"/>
  <c r="O487" i="2"/>
  <c r="N487" i="2"/>
  <c r="J487" i="2"/>
  <c r="H487" i="2"/>
  <c r="G487" i="2"/>
  <c r="C487" i="2"/>
  <c r="O486" i="2"/>
  <c r="N486" i="2"/>
  <c r="J486" i="2"/>
  <c r="H486" i="2"/>
  <c r="G486" i="2"/>
  <c r="C486" i="2"/>
  <c r="O485" i="2"/>
  <c r="N485" i="2"/>
  <c r="J485" i="2"/>
  <c r="H485" i="2"/>
  <c r="G485" i="2"/>
  <c r="C485" i="2"/>
  <c r="O484" i="2"/>
  <c r="J484" i="2"/>
  <c r="H484" i="2"/>
  <c r="G484" i="2"/>
  <c r="C484" i="2"/>
  <c r="O483" i="2"/>
  <c r="N483" i="2"/>
  <c r="J483" i="2"/>
  <c r="H483" i="2"/>
  <c r="G483" i="2"/>
  <c r="C483" i="2"/>
  <c r="O482" i="2"/>
  <c r="N482" i="2"/>
  <c r="J482" i="2"/>
  <c r="H482" i="2"/>
  <c r="G482" i="2"/>
  <c r="C482" i="2"/>
  <c r="O481" i="2"/>
  <c r="N481" i="2"/>
  <c r="J481" i="2"/>
  <c r="H481" i="2"/>
  <c r="G481" i="2"/>
  <c r="C481" i="2"/>
  <c r="O480" i="2"/>
  <c r="N480" i="2"/>
  <c r="J480" i="2"/>
  <c r="H480" i="2"/>
  <c r="G480" i="2"/>
  <c r="C480" i="2"/>
  <c r="O479" i="2"/>
  <c r="N479" i="2"/>
  <c r="J479" i="2"/>
  <c r="H479" i="2"/>
  <c r="G479" i="2"/>
  <c r="C479" i="2"/>
  <c r="O478" i="2"/>
  <c r="N478" i="2"/>
  <c r="J478" i="2"/>
  <c r="H478" i="2"/>
  <c r="G478" i="2"/>
  <c r="C478" i="2"/>
  <c r="O477" i="2"/>
  <c r="N477" i="2"/>
  <c r="J477" i="2"/>
  <c r="H477" i="2"/>
  <c r="G477" i="2"/>
  <c r="C477" i="2"/>
  <c r="O476" i="2"/>
  <c r="N476" i="2"/>
  <c r="J476" i="2"/>
  <c r="H476" i="2"/>
  <c r="G476" i="2"/>
  <c r="C476" i="2"/>
  <c r="O475" i="2"/>
  <c r="N475" i="2"/>
  <c r="J475" i="2"/>
  <c r="H475" i="2"/>
  <c r="G475" i="2"/>
  <c r="C475" i="2"/>
  <c r="O474" i="2"/>
  <c r="N474" i="2"/>
  <c r="J474" i="2"/>
  <c r="H474" i="2"/>
  <c r="G474" i="2"/>
  <c r="C474" i="2"/>
  <c r="O473" i="2"/>
  <c r="N473" i="2"/>
  <c r="J473" i="2"/>
  <c r="H473" i="2"/>
  <c r="G473" i="2"/>
  <c r="C473" i="2"/>
  <c r="O471" i="2"/>
  <c r="N471" i="2"/>
  <c r="J471" i="2"/>
  <c r="H471" i="2"/>
  <c r="G471" i="2"/>
  <c r="C471" i="2"/>
  <c r="O470" i="2"/>
  <c r="N470" i="2"/>
  <c r="J470" i="2"/>
  <c r="H470" i="2"/>
  <c r="G470" i="2"/>
  <c r="C470" i="2"/>
  <c r="O469" i="2"/>
  <c r="N469" i="2"/>
  <c r="J469" i="2"/>
  <c r="H469" i="2"/>
  <c r="G469" i="2"/>
  <c r="C469" i="2"/>
  <c r="O468" i="2"/>
  <c r="N468" i="2"/>
  <c r="J468" i="2"/>
  <c r="H468" i="2"/>
  <c r="G468" i="2"/>
  <c r="C468" i="2"/>
  <c r="O467" i="2"/>
  <c r="N467" i="2"/>
  <c r="J467" i="2"/>
  <c r="H467" i="2"/>
  <c r="G467" i="2"/>
  <c r="C467" i="2"/>
  <c r="O466" i="2"/>
  <c r="N466" i="2"/>
  <c r="J466" i="2"/>
  <c r="H466" i="2"/>
  <c r="G466" i="2"/>
  <c r="C466" i="2"/>
  <c r="O465" i="2"/>
  <c r="N465" i="2"/>
  <c r="J465" i="2"/>
  <c r="H465" i="2"/>
  <c r="G465" i="2"/>
  <c r="C465" i="2"/>
  <c r="O464" i="2"/>
  <c r="J464" i="2"/>
  <c r="H464" i="2"/>
  <c r="G464" i="2"/>
  <c r="C464" i="2"/>
  <c r="O463" i="2"/>
  <c r="N463" i="2"/>
  <c r="J463" i="2"/>
  <c r="H463" i="2"/>
  <c r="G463" i="2"/>
  <c r="C463" i="2"/>
  <c r="O462" i="2"/>
  <c r="N462" i="2"/>
  <c r="J462" i="2"/>
  <c r="H462" i="2"/>
  <c r="G462" i="2"/>
  <c r="C462" i="2"/>
  <c r="O461" i="2"/>
  <c r="N461" i="2"/>
  <c r="J461" i="2"/>
  <c r="H461" i="2"/>
  <c r="G461" i="2"/>
  <c r="C461" i="2"/>
  <c r="O460" i="2"/>
  <c r="N460" i="2"/>
  <c r="J460" i="2"/>
  <c r="H460" i="2"/>
  <c r="G460" i="2"/>
  <c r="C460" i="2"/>
  <c r="O459" i="2"/>
  <c r="N459" i="2"/>
  <c r="J459" i="2"/>
  <c r="H459" i="2"/>
  <c r="G459" i="2"/>
  <c r="C459" i="2"/>
  <c r="O458" i="2"/>
  <c r="J458" i="2"/>
  <c r="H458" i="2"/>
  <c r="G458" i="2"/>
  <c r="C458" i="2"/>
  <c r="O457" i="2"/>
  <c r="N457" i="2"/>
  <c r="J457" i="2"/>
  <c r="H457" i="2"/>
  <c r="G457" i="2"/>
  <c r="C457" i="2"/>
  <c r="O456" i="2"/>
  <c r="N456" i="2"/>
  <c r="J456" i="2"/>
  <c r="H456" i="2"/>
  <c r="G456" i="2"/>
  <c r="C456" i="2"/>
  <c r="O455" i="2"/>
  <c r="N455" i="2"/>
  <c r="J455" i="2"/>
  <c r="H455" i="2"/>
  <c r="G455" i="2"/>
  <c r="C455" i="2"/>
  <c r="O454" i="2"/>
  <c r="N454" i="2"/>
  <c r="J454" i="2"/>
  <c r="H454" i="2"/>
  <c r="G454" i="2"/>
  <c r="C454" i="2"/>
  <c r="O453" i="2"/>
  <c r="N453" i="2"/>
  <c r="J453" i="2"/>
  <c r="H453" i="2"/>
  <c r="G453" i="2"/>
  <c r="C453" i="2"/>
  <c r="O452" i="2"/>
  <c r="N452" i="2"/>
  <c r="J452" i="2"/>
  <c r="H452" i="2"/>
  <c r="G452" i="2"/>
  <c r="C452" i="2"/>
  <c r="O451" i="2"/>
  <c r="N451" i="2"/>
  <c r="J451" i="2"/>
  <c r="H451" i="2"/>
  <c r="G451" i="2"/>
  <c r="C451" i="2"/>
  <c r="O450" i="2"/>
  <c r="N450" i="2"/>
  <c r="J450" i="2"/>
  <c r="H450" i="2"/>
  <c r="G450" i="2"/>
  <c r="C450" i="2"/>
  <c r="O449" i="2"/>
  <c r="N449" i="2"/>
  <c r="J449" i="2"/>
  <c r="H449" i="2"/>
  <c r="G449" i="2"/>
  <c r="C449" i="2"/>
  <c r="O448" i="2"/>
  <c r="J448" i="2"/>
  <c r="H448" i="2"/>
  <c r="G448" i="2"/>
  <c r="C448" i="2"/>
  <c r="O447" i="2"/>
  <c r="J447" i="2"/>
  <c r="H447" i="2"/>
  <c r="G447" i="2"/>
  <c r="C447" i="2"/>
  <c r="O446" i="2"/>
  <c r="N446" i="2"/>
  <c r="J446" i="2"/>
  <c r="H446" i="2"/>
  <c r="G446" i="2"/>
  <c r="C446" i="2"/>
  <c r="J445" i="2"/>
  <c r="H445" i="2"/>
  <c r="G445" i="2"/>
  <c r="C445" i="2"/>
  <c r="O444" i="2"/>
  <c r="N444" i="2"/>
  <c r="J444" i="2"/>
  <c r="H444" i="2"/>
  <c r="G444" i="2"/>
  <c r="C444" i="2"/>
  <c r="O443" i="2"/>
  <c r="N443" i="2"/>
  <c r="J443" i="2"/>
  <c r="H443" i="2"/>
  <c r="G443" i="2"/>
  <c r="C443" i="2"/>
  <c r="O442" i="2"/>
  <c r="N442" i="2"/>
  <c r="J442" i="2"/>
  <c r="H442" i="2"/>
  <c r="G442" i="2"/>
  <c r="C442" i="2"/>
  <c r="O441" i="2"/>
  <c r="N441" i="2"/>
  <c r="J441" i="2"/>
  <c r="H441" i="2"/>
  <c r="G441" i="2"/>
  <c r="C441" i="2"/>
  <c r="O440" i="2"/>
  <c r="N440" i="2"/>
  <c r="J440" i="2"/>
  <c r="H440" i="2"/>
  <c r="G440" i="2"/>
  <c r="C440" i="2"/>
  <c r="O439" i="2"/>
  <c r="N439" i="2"/>
  <c r="J439" i="2"/>
  <c r="H439" i="2"/>
  <c r="G439" i="2"/>
  <c r="C439" i="2"/>
  <c r="O438" i="2"/>
  <c r="N438" i="2"/>
  <c r="J438" i="2"/>
  <c r="H438" i="2"/>
  <c r="G438" i="2"/>
  <c r="C438" i="2"/>
  <c r="N436" i="2"/>
  <c r="J436" i="2"/>
  <c r="H436" i="2"/>
  <c r="G436" i="2"/>
  <c r="C436" i="2"/>
  <c r="O435" i="2"/>
  <c r="N435" i="2"/>
  <c r="J435" i="2"/>
  <c r="H435" i="2"/>
  <c r="G435" i="2"/>
  <c r="C435" i="2"/>
  <c r="O434" i="2"/>
  <c r="N434" i="2"/>
  <c r="J434" i="2"/>
  <c r="H434" i="2"/>
  <c r="G434" i="2"/>
  <c r="C434" i="2"/>
  <c r="O433" i="2"/>
  <c r="N433" i="2"/>
  <c r="J433" i="2"/>
  <c r="H433" i="2"/>
  <c r="G433" i="2"/>
  <c r="C433" i="2"/>
  <c r="O432" i="2"/>
  <c r="N432" i="2"/>
  <c r="J432" i="2"/>
  <c r="H432" i="2"/>
  <c r="G432" i="2"/>
  <c r="C432" i="2"/>
  <c r="O431" i="2"/>
  <c r="N431" i="2"/>
  <c r="J431" i="2"/>
  <c r="H431" i="2"/>
  <c r="G431" i="2"/>
  <c r="C431" i="2"/>
  <c r="O430" i="2"/>
  <c r="N430" i="2"/>
  <c r="J430" i="2"/>
  <c r="H430" i="2"/>
  <c r="G430" i="2"/>
  <c r="C430" i="2"/>
  <c r="O429" i="2"/>
  <c r="N429" i="2"/>
  <c r="J429" i="2"/>
  <c r="H429" i="2"/>
  <c r="G429" i="2"/>
  <c r="C429" i="2"/>
  <c r="O427" i="2"/>
  <c r="N427" i="2"/>
  <c r="J427" i="2"/>
  <c r="H427" i="2"/>
  <c r="G427" i="2"/>
  <c r="C427" i="2"/>
  <c r="O426" i="2"/>
  <c r="N426" i="2"/>
  <c r="J426" i="2"/>
  <c r="H426" i="2"/>
  <c r="G426" i="2"/>
  <c r="C426" i="2"/>
  <c r="O425" i="2"/>
  <c r="N425" i="2"/>
  <c r="J425" i="2"/>
  <c r="H425" i="2"/>
  <c r="G425" i="2"/>
  <c r="C425" i="2"/>
  <c r="O424" i="2"/>
  <c r="N424" i="2"/>
  <c r="J424" i="2"/>
  <c r="H424" i="2"/>
  <c r="G424" i="2"/>
  <c r="C424" i="2"/>
  <c r="O423" i="2"/>
  <c r="N423" i="2"/>
  <c r="J423" i="2"/>
  <c r="H423" i="2"/>
  <c r="G423" i="2"/>
  <c r="C423" i="2"/>
  <c r="O422" i="2"/>
  <c r="J422" i="2"/>
  <c r="H422" i="2"/>
  <c r="G422" i="2"/>
  <c r="C422" i="2"/>
  <c r="O421" i="2"/>
  <c r="N421" i="2"/>
  <c r="J421" i="2"/>
  <c r="H421" i="2"/>
  <c r="G421" i="2"/>
  <c r="C421" i="2"/>
  <c r="O420" i="2"/>
  <c r="N420" i="2"/>
  <c r="J420" i="2"/>
  <c r="H420" i="2"/>
  <c r="G420" i="2"/>
  <c r="C420" i="2"/>
  <c r="O419" i="2"/>
  <c r="N419" i="2"/>
  <c r="J419" i="2"/>
  <c r="H419" i="2"/>
  <c r="G419" i="2"/>
  <c r="C419" i="2"/>
  <c r="O418" i="2"/>
  <c r="J418" i="2"/>
  <c r="H418" i="2"/>
  <c r="G418" i="2"/>
  <c r="C418" i="2"/>
  <c r="O417" i="2"/>
  <c r="N417" i="2"/>
  <c r="J417" i="2"/>
  <c r="H417" i="2"/>
  <c r="G417" i="2"/>
  <c r="C417" i="2"/>
  <c r="O416" i="2"/>
  <c r="N416" i="2"/>
  <c r="J416" i="2"/>
  <c r="H416" i="2"/>
  <c r="G416" i="2"/>
  <c r="C416" i="2"/>
  <c r="O415" i="2"/>
  <c r="N415" i="2"/>
  <c r="J415" i="2"/>
  <c r="H415" i="2"/>
  <c r="G415" i="2"/>
  <c r="C415" i="2"/>
  <c r="O414" i="2"/>
  <c r="N414" i="2"/>
  <c r="J414" i="2"/>
  <c r="H414" i="2"/>
  <c r="G414" i="2"/>
  <c r="C414" i="2"/>
  <c r="O413" i="2"/>
  <c r="N413" i="2"/>
  <c r="J413" i="2"/>
  <c r="H413" i="2"/>
  <c r="G413" i="2"/>
  <c r="C413" i="2"/>
  <c r="O412" i="2"/>
  <c r="N412" i="2"/>
  <c r="J412" i="2"/>
  <c r="H412" i="2"/>
  <c r="G412" i="2"/>
  <c r="C412" i="2"/>
  <c r="O411" i="2"/>
  <c r="N411" i="2"/>
  <c r="J411" i="2"/>
  <c r="H411" i="2"/>
  <c r="G411" i="2"/>
  <c r="C411" i="2"/>
  <c r="O410" i="2"/>
  <c r="N410" i="2"/>
  <c r="J410" i="2"/>
  <c r="H410" i="2"/>
  <c r="G410" i="2"/>
  <c r="C410" i="2"/>
  <c r="O407" i="2"/>
  <c r="N407" i="2"/>
  <c r="J407" i="2"/>
  <c r="H407" i="2"/>
  <c r="G407" i="2"/>
  <c r="C407" i="2"/>
  <c r="O406" i="2"/>
  <c r="N406" i="2"/>
  <c r="J406" i="2"/>
  <c r="H406" i="2"/>
  <c r="G406" i="2"/>
  <c r="C406" i="2"/>
  <c r="O403" i="2"/>
  <c r="J403" i="2"/>
  <c r="H403" i="2"/>
  <c r="G403" i="2"/>
  <c r="C403" i="2"/>
  <c r="O402" i="2"/>
  <c r="J402" i="2"/>
  <c r="H402" i="2"/>
  <c r="G402" i="2"/>
  <c r="C402" i="2"/>
  <c r="O399" i="2"/>
  <c r="J399" i="2"/>
  <c r="H399" i="2"/>
  <c r="G399" i="2"/>
  <c r="C399" i="2"/>
  <c r="O398" i="2"/>
  <c r="J398" i="2"/>
  <c r="H398" i="2"/>
  <c r="G398" i="2"/>
  <c r="C398" i="2"/>
  <c r="O396" i="2"/>
  <c r="J396" i="2"/>
  <c r="H396" i="2"/>
  <c r="G396" i="2"/>
  <c r="C396" i="2"/>
  <c r="O392" i="2"/>
  <c r="J392" i="2"/>
  <c r="H392" i="2"/>
  <c r="G392" i="2"/>
  <c r="C392" i="2"/>
  <c r="O390" i="2"/>
  <c r="J390" i="2"/>
  <c r="H390" i="2"/>
  <c r="G390" i="2"/>
  <c r="C390" i="2"/>
  <c r="O389" i="2"/>
  <c r="J389" i="2"/>
  <c r="H389" i="2"/>
  <c r="G389" i="2"/>
  <c r="C389" i="2"/>
  <c r="O386" i="2"/>
  <c r="J386" i="2"/>
  <c r="H386" i="2"/>
  <c r="G386" i="2"/>
  <c r="C386" i="2"/>
  <c r="O385" i="2"/>
  <c r="J385" i="2"/>
  <c r="H385" i="2"/>
  <c r="G385" i="2"/>
  <c r="C385" i="2"/>
  <c r="O384" i="2"/>
  <c r="J384" i="2"/>
  <c r="H384" i="2"/>
  <c r="G384" i="2"/>
  <c r="C384" i="2"/>
  <c r="O383" i="2"/>
  <c r="J383" i="2"/>
  <c r="H383" i="2"/>
  <c r="G383" i="2"/>
  <c r="C383" i="2"/>
  <c r="O382" i="2"/>
  <c r="J382" i="2"/>
  <c r="H382" i="2"/>
  <c r="G382" i="2"/>
  <c r="C382" i="2"/>
  <c r="O381" i="2"/>
  <c r="J381" i="2"/>
  <c r="H381" i="2"/>
  <c r="G381" i="2"/>
  <c r="C381" i="2"/>
  <c r="O380" i="2"/>
  <c r="J380" i="2"/>
  <c r="H380" i="2"/>
  <c r="G380" i="2"/>
  <c r="C380" i="2"/>
  <c r="O377" i="2"/>
  <c r="J377" i="2"/>
  <c r="H377" i="2"/>
  <c r="G377" i="2"/>
  <c r="C377" i="2"/>
  <c r="O376" i="2"/>
  <c r="J376" i="2"/>
  <c r="H376" i="2"/>
  <c r="G376" i="2"/>
  <c r="C376" i="2"/>
  <c r="O374" i="2"/>
  <c r="J374" i="2"/>
  <c r="H374" i="2"/>
  <c r="G374" i="2"/>
  <c r="C374" i="2"/>
  <c r="O373" i="2"/>
  <c r="J373" i="2"/>
  <c r="H373" i="2"/>
  <c r="G373" i="2"/>
  <c r="C373" i="2"/>
  <c r="O372" i="2"/>
  <c r="J372" i="2"/>
  <c r="H372" i="2"/>
  <c r="G372" i="2"/>
  <c r="C372" i="2"/>
  <c r="O368" i="2"/>
  <c r="J368" i="2"/>
  <c r="H368" i="2"/>
  <c r="G368" i="2"/>
  <c r="C368" i="2"/>
  <c r="O367" i="2"/>
  <c r="J367" i="2"/>
  <c r="H367" i="2"/>
  <c r="G367" i="2"/>
  <c r="C367" i="2"/>
  <c r="O366" i="2"/>
  <c r="J366" i="2"/>
  <c r="H366" i="2"/>
  <c r="G366" i="2"/>
  <c r="C366" i="2"/>
  <c r="O363" i="2"/>
  <c r="J363" i="2"/>
  <c r="H363" i="2"/>
  <c r="G363" i="2"/>
  <c r="C363" i="2"/>
  <c r="O361" i="2"/>
  <c r="J361" i="2"/>
  <c r="H361" i="2"/>
  <c r="G361" i="2"/>
  <c r="C361" i="2"/>
  <c r="O359" i="2"/>
  <c r="J359" i="2"/>
  <c r="H359" i="2"/>
  <c r="G359" i="2"/>
  <c r="C359" i="2"/>
  <c r="O356" i="2"/>
  <c r="J356" i="2"/>
  <c r="H356" i="2"/>
  <c r="G356" i="2"/>
  <c r="C356" i="2"/>
  <c r="O355" i="2"/>
  <c r="J355" i="2"/>
  <c r="H355" i="2"/>
  <c r="G355" i="2"/>
  <c r="C355" i="2"/>
  <c r="O352" i="2"/>
  <c r="J352" i="2"/>
  <c r="H352" i="2"/>
  <c r="G352" i="2"/>
  <c r="C352" i="2"/>
  <c r="O351" i="2"/>
  <c r="J351" i="2"/>
  <c r="H351" i="2"/>
  <c r="G351" i="2"/>
  <c r="C351" i="2"/>
  <c r="O350" i="2"/>
  <c r="J350" i="2"/>
  <c r="H350" i="2"/>
  <c r="G350" i="2"/>
  <c r="C350" i="2"/>
  <c r="O349" i="2"/>
  <c r="J349" i="2"/>
  <c r="H349" i="2"/>
  <c r="G349" i="2"/>
  <c r="C349" i="2"/>
  <c r="O347" i="2"/>
  <c r="J347" i="2"/>
  <c r="H347" i="2"/>
  <c r="G347" i="2"/>
  <c r="C347" i="2"/>
  <c r="O346" i="2"/>
  <c r="J346" i="2"/>
  <c r="H346" i="2"/>
  <c r="G346" i="2"/>
  <c r="C346" i="2"/>
  <c r="O345" i="2"/>
  <c r="J345" i="2"/>
  <c r="G345" i="2"/>
  <c r="C345" i="2"/>
  <c r="O344" i="2"/>
  <c r="J344" i="2"/>
  <c r="H344" i="2"/>
  <c r="G344" i="2"/>
  <c r="C344" i="2"/>
  <c r="O343" i="2"/>
  <c r="J343" i="2"/>
  <c r="H343" i="2"/>
  <c r="G343" i="2"/>
  <c r="C343" i="2"/>
  <c r="O342" i="2"/>
  <c r="J342" i="2"/>
  <c r="H342" i="2"/>
  <c r="G342" i="2"/>
  <c r="C342" i="2"/>
  <c r="O341" i="2"/>
  <c r="J341" i="2"/>
  <c r="H341" i="2"/>
  <c r="G341" i="2"/>
  <c r="C341" i="2"/>
  <c r="O339" i="2"/>
  <c r="J339" i="2"/>
  <c r="H339" i="2"/>
  <c r="G339" i="2"/>
  <c r="C339" i="2"/>
  <c r="O336" i="2"/>
  <c r="J336" i="2"/>
  <c r="H336" i="2"/>
  <c r="G336" i="2"/>
  <c r="C336" i="2"/>
  <c r="O335" i="2"/>
  <c r="J335" i="2"/>
  <c r="H335" i="2"/>
  <c r="G335" i="2"/>
  <c r="C335" i="2"/>
  <c r="O332" i="2"/>
  <c r="J332" i="2"/>
  <c r="H332" i="2"/>
  <c r="G332" i="2"/>
  <c r="C332" i="2"/>
  <c r="O331" i="2"/>
  <c r="J331" i="2"/>
  <c r="H331" i="2"/>
  <c r="G331" i="2"/>
  <c r="C331" i="2"/>
  <c r="O328" i="2"/>
  <c r="J328" i="2"/>
  <c r="H328" i="2"/>
  <c r="G328" i="2"/>
  <c r="C328" i="2"/>
  <c r="O327" i="2"/>
  <c r="J327" i="2"/>
  <c r="H327" i="2"/>
  <c r="G327" i="2"/>
  <c r="C327" i="2"/>
  <c r="O326" i="2"/>
  <c r="J326" i="2"/>
  <c r="H326" i="2"/>
  <c r="G326" i="2"/>
  <c r="C326" i="2"/>
  <c r="O323" i="2"/>
  <c r="J323" i="2"/>
  <c r="H323" i="2"/>
  <c r="G323" i="2"/>
  <c r="C323" i="2"/>
  <c r="O321" i="2"/>
  <c r="J321" i="2"/>
  <c r="H321" i="2"/>
  <c r="G321" i="2"/>
  <c r="C321" i="2"/>
  <c r="O320" i="2"/>
  <c r="J320" i="2"/>
  <c r="G320" i="2"/>
  <c r="C320" i="2"/>
  <c r="O319" i="2"/>
  <c r="J319" i="2"/>
  <c r="H319" i="2"/>
  <c r="G319" i="2"/>
  <c r="C319" i="2"/>
  <c r="O318" i="2"/>
  <c r="J318" i="2"/>
  <c r="H318" i="2"/>
  <c r="G318" i="2"/>
  <c r="C318" i="2"/>
  <c r="O317" i="2"/>
  <c r="J317" i="2"/>
  <c r="H317" i="2"/>
  <c r="G317" i="2"/>
  <c r="C317" i="2"/>
  <c r="O316" i="2"/>
  <c r="J316" i="2"/>
  <c r="H316" i="2"/>
  <c r="G316" i="2"/>
  <c r="C316" i="2"/>
  <c r="O315" i="2"/>
  <c r="J315" i="2"/>
  <c r="H315" i="2"/>
  <c r="G315" i="2"/>
  <c r="C315" i="2"/>
  <c r="O313" i="2"/>
  <c r="J313" i="2"/>
  <c r="H313" i="2"/>
  <c r="G313" i="2"/>
  <c r="C313" i="2"/>
  <c r="O312" i="2"/>
  <c r="J312" i="2"/>
  <c r="H312" i="2"/>
  <c r="G312" i="2"/>
  <c r="C312" i="2"/>
  <c r="O311" i="2"/>
  <c r="J311" i="2"/>
  <c r="H311" i="2"/>
  <c r="G311" i="2"/>
  <c r="C311" i="2"/>
  <c r="O310" i="2"/>
  <c r="J310" i="2"/>
  <c r="H310" i="2"/>
  <c r="G310" i="2"/>
  <c r="C310" i="2"/>
  <c r="O307" i="2"/>
  <c r="J307" i="2"/>
  <c r="H307" i="2"/>
  <c r="G307" i="2"/>
  <c r="C307" i="2"/>
  <c r="O305" i="2"/>
  <c r="J305" i="2"/>
  <c r="H305" i="2"/>
  <c r="G305" i="2"/>
  <c r="C305" i="2"/>
  <c r="O304" i="2"/>
  <c r="J304" i="2"/>
  <c r="H304" i="2"/>
  <c r="G304" i="2"/>
  <c r="C304" i="2"/>
  <c r="O303" i="2"/>
  <c r="J303" i="2"/>
  <c r="G303" i="2"/>
  <c r="C303" i="2"/>
  <c r="O302" i="2"/>
  <c r="J302" i="2"/>
  <c r="G302" i="2"/>
  <c r="C302" i="2"/>
  <c r="O301" i="2"/>
  <c r="J301" i="2"/>
  <c r="H301" i="2"/>
  <c r="G301" i="2"/>
  <c r="C301" i="2"/>
  <c r="O298" i="2"/>
  <c r="J298" i="2"/>
  <c r="H298" i="2"/>
  <c r="G298" i="2"/>
  <c r="C298" i="2"/>
  <c r="O297" i="2"/>
  <c r="J297" i="2"/>
  <c r="H297" i="2"/>
  <c r="G297" i="2"/>
  <c r="C297" i="2"/>
  <c r="O296" i="2"/>
  <c r="J296" i="2"/>
  <c r="H296" i="2"/>
  <c r="G296" i="2"/>
  <c r="C296" i="2"/>
  <c r="O295" i="2"/>
  <c r="J295" i="2"/>
  <c r="H295" i="2"/>
  <c r="G295" i="2"/>
  <c r="C295" i="2"/>
  <c r="O294" i="2"/>
  <c r="J294" i="2"/>
  <c r="H294" i="2"/>
  <c r="G294" i="2"/>
  <c r="C294" i="2"/>
  <c r="O293" i="2"/>
  <c r="J293" i="2"/>
  <c r="H293" i="2"/>
  <c r="G293" i="2"/>
  <c r="C293" i="2"/>
  <c r="O292" i="2"/>
  <c r="J292" i="2"/>
  <c r="H292" i="2"/>
  <c r="G292" i="2"/>
  <c r="C292" i="2"/>
  <c r="O291" i="2"/>
  <c r="J291" i="2"/>
  <c r="H291" i="2"/>
  <c r="G291" i="2"/>
  <c r="C291" i="2"/>
  <c r="O290" i="2"/>
  <c r="J290" i="2"/>
  <c r="H290" i="2"/>
  <c r="G290" i="2"/>
  <c r="C290" i="2"/>
  <c r="O289" i="2"/>
  <c r="J289" i="2"/>
  <c r="H289" i="2"/>
  <c r="G289" i="2"/>
  <c r="C289" i="2"/>
  <c r="O288" i="2"/>
  <c r="J288" i="2"/>
  <c r="H288" i="2"/>
  <c r="G288" i="2"/>
  <c r="C288" i="2"/>
  <c r="O287" i="2"/>
  <c r="J287" i="2"/>
  <c r="H287" i="2"/>
  <c r="G287" i="2"/>
  <c r="C287" i="2"/>
  <c r="O286" i="2"/>
  <c r="J286" i="2"/>
  <c r="H286" i="2"/>
  <c r="G286" i="2"/>
  <c r="C286" i="2"/>
  <c r="O285" i="2"/>
  <c r="J285" i="2"/>
  <c r="G285" i="2"/>
  <c r="C285" i="2"/>
  <c r="O284" i="2"/>
  <c r="J284" i="2"/>
  <c r="G284" i="2"/>
  <c r="C284" i="2"/>
  <c r="O283" i="2"/>
  <c r="J283" i="2"/>
  <c r="H283" i="2"/>
  <c r="G283" i="2"/>
  <c r="C283" i="2"/>
  <c r="O282" i="2"/>
  <c r="J282" i="2"/>
  <c r="H282" i="2"/>
  <c r="G282" i="2"/>
  <c r="C282" i="2"/>
  <c r="O281" i="2"/>
  <c r="J281" i="2"/>
  <c r="H281" i="2"/>
  <c r="G281" i="2"/>
  <c r="C281" i="2"/>
  <c r="O278" i="2"/>
  <c r="J278" i="2"/>
  <c r="H278" i="2"/>
  <c r="G278" i="2"/>
  <c r="C278" i="2"/>
  <c r="O277" i="2"/>
  <c r="J277" i="2"/>
  <c r="H277" i="2"/>
  <c r="G277" i="2"/>
  <c r="C277" i="2"/>
  <c r="O272" i="2"/>
  <c r="J272" i="2"/>
  <c r="H272" i="2"/>
  <c r="G272" i="2"/>
  <c r="C272" i="2"/>
  <c r="O269" i="2"/>
  <c r="J269" i="2"/>
  <c r="H269" i="2"/>
  <c r="G269" i="2"/>
  <c r="C269" i="2"/>
  <c r="O268" i="2"/>
  <c r="J268" i="2"/>
  <c r="H268" i="2"/>
  <c r="G268" i="2"/>
  <c r="C268" i="2"/>
  <c r="O267" i="2"/>
  <c r="J267" i="2"/>
  <c r="H267" i="2"/>
  <c r="G267" i="2"/>
  <c r="C267" i="2"/>
  <c r="O266" i="2"/>
  <c r="J266" i="2"/>
  <c r="H266" i="2"/>
  <c r="G266" i="2"/>
  <c r="C266" i="2"/>
  <c r="O265" i="2"/>
  <c r="J265" i="2"/>
  <c r="H265" i="2"/>
  <c r="G265" i="2"/>
  <c r="C265" i="2"/>
  <c r="O261" i="2"/>
  <c r="J261" i="2"/>
  <c r="H261" i="2"/>
  <c r="G261" i="2"/>
  <c r="C261" i="2"/>
  <c r="O260" i="2"/>
  <c r="J260" i="2"/>
  <c r="H260" i="2"/>
  <c r="G260" i="2"/>
  <c r="C260" i="2"/>
  <c r="O259" i="2"/>
  <c r="J259" i="2"/>
  <c r="H259" i="2"/>
  <c r="G259" i="2"/>
  <c r="C259" i="2"/>
  <c r="O258" i="2"/>
  <c r="J258" i="2"/>
  <c r="H258" i="2"/>
  <c r="G258" i="2"/>
  <c r="C258" i="2"/>
  <c r="O256" i="2"/>
  <c r="J256" i="2"/>
  <c r="G256" i="2"/>
  <c r="C256" i="2"/>
  <c r="O255" i="2"/>
  <c r="J255" i="2"/>
  <c r="H255" i="2"/>
  <c r="G255" i="2"/>
  <c r="C255" i="2"/>
  <c r="O254" i="2"/>
  <c r="J254" i="2"/>
  <c r="H254" i="2"/>
  <c r="G254" i="2"/>
  <c r="C254" i="2"/>
  <c r="O253" i="2"/>
  <c r="J253" i="2"/>
  <c r="H253" i="2"/>
  <c r="G253" i="2"/>
  <c r="C253" i="2"/>
  <c r="O252" i="2"/>
  <c r="J252" i="2"/>
  <c r="H252" i="2"/>
  <c r="G252" i="2"/>
  <c r="C252" i="2"/>
  <c r="O249" i="2"/>
  <c r="J249" i="2"/>
  <c r="H249" i="2"/>
  <c r="G249" i="2"/>
  <c r="C249" i="2"/>
  <c r="O248" i="2"/>
  <c r="J248" i="2"/>
  <c r="H248" i="2"/>
  <c r="G248" i="2"/>
  <c r="C248" i="2"/>
  <c r="O247" i="2"/>
  <c r="J247" i="2"/>
  <c r="H247" i="2"/>
  <c r="G247" i="2"/>
  <c r="C247" i="2"/>
  <c r="O246" i="2"/>
  <c r="J246" i="2"/>
  <c r="H246" i="2"/>
  <c r="G246" i="2"/>
  <c r="C246" i="2"/>
  <c r="O245" i="2"/>
  <c r="J245" i="2"/>
  <c r="H245" i="2"/>
  <c r="G245" i="2"/>
  <c r="C245" i="2"/>
  <c r="O244" i="2"/>
  <c r="J244" i="2"/>
  <c r="H244" i="2"/>
  <c r="G244" i="2"/>
  <c r="C244" i="2"/>
  <c r="O243" i="2"/>
  <c r="J243" i="2"/>
  <c r="H243" i="2"/>
  <c r="G243" i="2"/>
  <c r="C243" i="2"/>
  <c r="O242" i="2"/>
  <c r="J242" i="2"/>
  <c r="H242" i="2"/>
  <c r="G242" i="2"/>
  <c r="C242" i="2"/>
  <c r="O239" i="2"/>
  <c r="J239" i="2"/>
  <c r="H239" i="2"/>
  <c r="G239" i="2"/>
  <c r="C239" i="2"/>
  <c r="O236" i="2"/>
  <c r="J236" i="2"/>
  <c r="H236" i="2"/>
  <c r="G236" i="2"/>
  <c r="C236" i="2"/>
  <c r="O232" i="2"/>
  <c r="J232" i="2"/>
  <c r="H232" i="2"/>
  <c r="G232" i="2"/>
  <c r="C232" i="2"/>
  <c r="O231" i="2"/>
  <c r="J231" i="2"/>
  <c r="H231" i="2"/>
  <c r="G231" i="2"/>
  <c r="C231" i="2"/>
  <c r="O229" i="2"/>
  <c r="J229" i="2"/>
  <c r="H229" i="2"/>
  <c r="G229" i="2"/>
  <c r="C229" i="2"/>
  <c r="O226" i="2"/>
  <c r="J226" i="2"/>
  <c r="H226" i="2"/>
  <c r="G226" i="2"/>
  <c r="C226" i="2"/>
  <c r="O225" i="2"/>
  <c r="J225" i="2"/>
  <c r="H225" i="2"/>
  <c r="G225" i="2"/>
  <c r="C225" i="2"/>
  <c r="O222" i="2"/>
  <c r="J222" i="2"/>
  <c r="H222" i="2"/>
  <c r="G222" i="2"/>
  <c r="C222" i="2"/>
  <c r="O221" i="2"/>
  <c r="J221" i="2"/>
  <c r="H221" i="2"/>
  <c r="G221" i="2"/>
  <c r="C221" i="2"/>
  <c r="O218" i="2"/>
  <c r="J218" i="2"/>
  <c r="H218" i="2"/>
  <c r="G218" i="2"/>
  <c r="C218" i="2"/>
  <c r="O215" i="2"/>
  <c r="J215" i="2"/>
  <c r="H215" i="2"/>
  <c r="G215" i="2"/>
  <c r="C215" i="2"/>
  <c r="O213" i="2"/>
  <c r="J213" i="2"/>
  <c r="H213" i="2"/>
  <c r="G213" i="2"/>
  <c r="C213" i="2"/>
  <c r="O212" i="2"/>
  <c r="J212" i="2"/>
  <c r="H212" i="2"/>
  <c r="G212" i="2"/>
  <c r="C212" i="2"/>
  <c r="O209" i="2"/>
  <c r="J209" i="2"/>
  <c r="H209" i="2"/>
  <c r="G209" i="2"/>
  <c r="C209" i="2"/>
  <c r="O208" i="2"/>
  <c r="J208" i="2"/>
  <c r="H208" i="2"/>
  <c r="G208" i="2"/>
  <c r="C208" i="2"/>
  <c r="O207" i="2"/>
  <c r="J207" i="2"/>
  <c r="H207" i="2"/>
  <c r="G207" i="2"/>
  <c r="C207" i="2"/>
  <c r="O206" i="2"/>
  <c r="J206" i="2"/>
  <c r="H206" i="2"/>
  <c r="G206" i="2"/>
  <c r="C206" i="2"/>
  <c r="O203" i="2"/>
  <c r="J203" i="2"/>
  <c r="H203" i="2"/>
  <c r="G203" i="2"/>
  <c r="C203" i="2"/>
  <c r="O202" i="2"/>
  <c r="J202" i="2"/>
  <c r="H202" i="2"/>
  <c r="G202" i="2"/>
  <c r="C202" i="2"/>
  <c r="O201" i="2"/>
  <c r="J201" i="2"/>
  <c r="H201" i="2"/>
  <c r="G201" i="2"/>
  <c r="C201" i="2"/>
  <c r="O197" i="2"/>
  <c r="J197" i="2"/>
  <c r="H197" i="2"/>
  <c r="G197" i="2"/>
  <c r="C197" i="2"/>
  <c r="O196" i="2"/>
  <c r="J196" i="2"/>
  <c r="H196" i="2"/>
  <c r="G196" i="2"/>
  <c r="C196" i="2"/>
  <c r="O195" i="2"/>
  <c r="J195" i="2"/>
  <c r="H195" i="2"/>
  <c r="G195" i="2"/>
  <c r="C195" i="2"/>
  <c r="O191" i="2"/>
  <c r="J191" i="2"/>
  <c r="H191" i="2"/>
  <c r="G191" i="2"/>
  <c r="C191" i="2"/>
  <c r="O189" i="2"/>
  <c r="J189" i="2"/>
  <c r="H189" i="2"/>
  <c r="G189" i="2"/>
  <c r="C189" i="2"/>
  <c r="O188" i="2"/>
  <c r="J188" i="2"/>
  <c r="H188" i="2"/>
  <c r="G188" i="2"/>
  <c r="C188" i="2"/>
  <c r="O187" i="2"/>
  <c r="J187" i="2"/>
  <c r="H187" i="2"/>
  <c r="G187" i="2"/>
  <c r="C187" i="2"/>
  <c r="O186" i="2"/>
  <c r="J186" i="2"/>
  <c r="G186" i="2"/>
  <c r="C186" i="2"/>
  <c r="O185" i="2"/>
  <c r="J185" i="2"/>
  <c r="G185" i="2"/>
  <c r="C185" i="2"/>
  <c r="O184" i="2"/>
  <c r="J184" i="2"/>
  <c r="G184" i="2"/>
  <c r="C184" i="2"/>
  <c r="O183" i="2"/>
  <c r="J183" i="2"/>
  <c r="G183" i="2"/>
  <c r="C183" i="2"/>
  <c r="O182" i="2"/>
  <c r="J182" i="2"/>
  <c r="G182" i="2"/>
  <c r="C182" i="2"/>
  <c r="O181" i="2"/>
  <c r="J181" i="2"/>
  <c r="G181" i="2"/>
  <c r="C181" i="2"/>
  <c r="O180" i="2"/>
  <c r="J180" i="2"/>
  <c r="G180" i="2"/>
  <c r="C180" i="2"/>
  <c r="O179" i="2"/>
  <c r="J179" i="2"/>
  <c r="G179" i="2"/>
  <c r="C179" i="2"/>
  <c r="O178" i="2"/>
  <c r="J178" i="2"/>
  <c r="G178" i="2"/>
  <c r="C178" i="2"/>
  <c r="O177" i="2"/>
  <c r="J177" i="2"/>
  <c r="H177" i="2"/>
  <c r="G177" i="2"/>
  <c r="C177" i="2"/>
  <c r="O176" i="2"/>
  <c r="J176" i="2"/>
  <c r="H176" i="2"/>
  <c r="G176" i="2"/>
  <c r="C176" i="2"/>
  <c r="O175" i="2"/>
  <c r="J175" i="2"/>
  <c r="H175" i="2"/>
  <c r="G175" i="2"/>
  <c r="C175" i="2"/>
  <c r="O174" i="2"/>
  <c r="J174" i="2"/>
  <c r="H174" i="2"/>
  <c r="G174" i="2"/>
  <c r="C174" i="2"/>
  <c r="O173" i="2"/>
  <c r="J173" i="2"/>
  <c r="H173" i="2"/>
  <c r="G173" i="2"/>
  <c r="C173" i="2"/>
  <c r="O172" i="2"/>
  <c r="J172" i="2"/>
  <c r="H172" i="2"/>
  <c r="G172" i="2"/>
  <c r="C172" i="2"/>
  <c r="O171" i="2"/>
  <c r="J171" i="2"/>
  <c r="H171" i="2"/>
  <c r="G171" i="2"/>
  <c r="C171" i="2"/>
  <c r="O170" i="2"/>
  <c r="J170" i="2"/>
  <c r="H170" i="2"/>
  <c r="G170" i="2"/>
  <c r="C170" i="2"/>
  <c r="O169" i="2"/>
  <c r="J169" i="2"/>
  <c r="H169" i="2"/>
  <c r="G169" i="2"/>
  <c r="C169" i="2"/>
  <c r="O168" i="2"/>
  <c r="J168" i="2"/>
  <c r="H168" i="2"/>
  <c r="G168" i="2"/>
  <c r="C168" i="2"/>
  <c r="O167" i="2"/>
  <c r="J167" i="2"/>
  <c r="H167" i="2"/>
  <c r="G167" i="2"/>
  <c r="C167" i="2"/>
  <c r="O166" i="2"/>
  <c r="J166" i="2"/>
  <c r="H166" i="2"/>
  <c r="G166" i="2"/>
  <c r="C166" i="2"/>
  <c r="O146" i="2"/>
  <c r="J146" i="2"/>
  <c r="H146" i="2"/>
  <c r="G146" i="2"/>
  <c r="C146" i="2"/>
  <c r="O145" i="2"/>
  <c r="J145" i="2"/>
  <c r="H145" i="2"/>
  <c r="G145" i="2"/>
  <c r="C145" i="2"/>
  <c r="O144" i="2"/>
  <c r="J144" i="2"/>
  <c r="H144" i="2"/>
  <c r="G144" i="2"/>
  <c r="C144" i="2"/>
  <c r="O143" i="2"/>
  <c r="J143" i="2"/>
  <c r="H143" i="2"/>
  <c r="G143" i="2"/>
  <c r="C143" i="2"/>
  <c r="O142" i="2"/>
  <c r="J142" i="2"/>
  <c r="H142" i="2"/>
  <c r="G142" i="2"/>
  <c r="C142" i="2"/>
  <c r="O141" i="2"/>
  <c r="J141" i="2"/>
  <c r="H141" i="2"/>
  <c r="G141" i="2"/>
  <c r="C141" i="2"/>
  <c r="O140" i="2"/>
  <c r="J140" i="2"/>
  <c r="H140" i="2"/>
  <c r="G140" i="2"/>
  <c r="C140" i="2"/>
  <c r="O137" i="2"/>
  <c r="J137" i="2"/>
  <c r="H137" i="2"/>
  <c r="G137" i="2"/>
  <c r="C137" i="2"/>
  <c r="O136" i="2"/>
  <c r="J136" i="2"/>
  <c r="H136" i="2"/>
  <c r="G136" i="2"/>
  <c r="C136" i="2"/>
  <c r="O135" i="2"/>
  <c r="J135" i="2"/>
  <c r="H135" i="2"/>
  <c r="G135" i="2"/>
  <c r="C135" i="2"/>
  <c r="O134" i="2"/>
  <c r="J134" i="2"/>
  <c r="H134" i="2"/>
  <c r="G134" i="2"/>
  <c r="C134" i="2"/>
  <c r="O133" i="2"/>
  <c r="J133" i="2"/>
  <c r="H133" i="2"/>
  <c r="G133" i="2"/>
  <c r="C133" i="2"/>
  <c r="O130" i="2"/>
  <c r="J130" i="2"/>
  <c r="H130" i="2"/>
  <c r="G130" i="2"/>
  <c r="C130" i="2"/>
  <c r="O129" i="2"/>
  <c r="J129" i="2"/>
  <c r="H129" i="2"/>
  <c r="G129" i="2"/>
  <c r="C129" i="2"/>
  <c r="O128" i="2"/>
  <c r="J128" i="2"/>
  <c r="H128" i="2"/>
  <c r="G128" i="2"/>
  <c r="C128" i="2"/>
  <c r="O127" i="2"/>
  <c r="J127" i="2"/>
  <c r="H127" i="2"/>
  <c r="G127" i="2"/>
  <c r="C127" i="2"/>
  <c r="O126" i="2"/>
  <c r="J126" i="2"/>
  <c r="H126" i="2"/>
  <c r="G126" i="2"/>
  <c r="C126" i="2"/>
  <c r="O123" i="2"/>
  <c r="J123" i="2"/>
  <c r="H123" i="2"/>
  <c r="G123" i="2"/>
  <c r="C123" i="2"/>
  <c r="O122" i="2"/>
  <c r="J122" i="2"/>
  <c r="H122" i="2"/>
  <c r="G122" i="2"/>
  <c r="C122" i="2"/>
  <c r="O121" i="2"/>
  <c r="J121" i="2"/>
  <c r="H121" i="2"/>
  <c r="G121" i="2"/>
  <c r="C121" i="2"/>
  <c r="O119" i="2"/>
  <c r="J119" i="2"/>
  <c r="H119" i="2"/>
  <c r="G119" i="2"/>
  <c r="C119" i="2"/>
  <c r="O117" i="2"/>
  <c r="J117" i="2"/>
  <c r="H117" i="2"/>
  <c r="G117" i="2"/>
  <c r="C117" i="2"/>
  <c r="O114" i="2"/>
  <c r="J114" i="2"/>
  <c r="H114" i="2"/>
  <c r="G114" i="2"/>
  <c r="C114" i="2"/>
  <c r="O111" i="2"/>
  <c r="J111" i="2"/>
  <c r="H111" i="2"/>
  <c r="G111" i="2"/>
  <c r="C111" i="2"/>
  <c r="O110" i="2"/>
  <c r="J110" i="2"/>
  <c r="H110" i="2"/>
  <c r="G110" i="2"/>
  <c r="C110" i="2"/>
  <c r="O107" i="2"/>
  <c r="J107" i="2"/>
  <c r="H107" i="2"/>
  <c r="G107" i="2"/>
  <c r="C107" i="2"/>
  <c r="O106" i="2"/>
  <c r="J106" i="2"/>
  <c r="H106" i="2"/>
  <c r="G106" i="2"/>
  <c r="C106" i="2"/>
  <c r="O103" i="2"/>
  <c r="J103" i="2"/>
  <c r="H103" i="2"/>
  <c r="G103" i="2"/>
  <c r="C103" i="2"/>
  <c r="O102" i="2"/>
  <c r="J102" i="2"/>
  <c r="H102" i="2"/>
  <c r="G102" i="2"/>
  <c r="C102" i="2"/>
  <c r="O101" i="2"/>
  <c r="J101" i="2"/>
  <c r="H101" i="2"/>
  <c r="G101" i="2"/>
  <c r="C101" i="2"/>
  <c r="O96" i="2"/>
  <c r="J96" i="2"/>
  <c r="H96" i="2"/>
  <c r="G96" i="2"/>
  <c r="C96" i="2"/>
  <c r="O95" i="2"/>
  <c r="J95" i="2"/>
  <c r="H95" i="2"/>
  <c r="G95" i="2"/>
  <c r="C95" i="2"/>
  <c r="O92" i="2"/>
  <c r="J92" i="2"/>
  <c r="H92" i="2"/>
  <c r="G92" i="2"/>
  <c r="C92" i="2"/>
  <c r="O91" i="2"/>
  <c r="J91" i="2"/>
  <c r="H91" i="2"/>
  <c r="G91" i="2"/>
  <c r="C91" i="2"/>
  <c r="O90" i="2"/>
  <c r="J90" i="2"/>
  <c r="H90" i="2"/>
  <c r="G90" i="2"/>
  <c r="C90" i="2"/>
  <c r="O89" i="2"/>
  <c r="J89" i="2"/>
  <c r="H89" i="2"/>
  <c r="G89" i="2"/>
  <c r="C89" i="2"/>
  <c r="O88" i="2"/>
  <c r="J88" i="2"/>
  <c r="H88" i="2"/>
  <c r="G88" i="2"/>
  <c r="C88" i="2"/>
  <c r="O87" i="2"/>
  <c r="J87" i="2"/>
  <c r="H87" i="2"/>
  <c r="G87" i="2"/>
  <c r="C87" i="2"/>
  <c r="O84" i="2"/>
  <c r="J84" i="2"/>
  <c r="H84" i="2"/>
  <c r="G84" i="2"/>
  <c r="C84" i="2"/>
  <c r="O83" i="2"/>
  <c r="J83" i="2"/>
  <c r="H83" i="2"/>
  <c r="G83" i="2"/>
  <c r="C83" i="2"/>
  <c r="O82" i="2"/>
  <c r="J82" i="2"/>
  <c r="H82" i="2"/>
  <c r="G82" i="2"/>
  <c r="C82" i="2"/>
  <c r="O81" i="2"/>
  <c r="J81" i="2"/>
  <c r="H81" i="2"/>
  <c r="G81" i="2"/>
  <c r="C81" i="2"/>
  <c r="O78" i="2"/>
  <c r="J78" i="2"/>
  <c r="H78" i="2"/>
  <c r="G78" i="2"/>
  <c r="C78" i="2"/>
  <c r="O76" i="2"/>
  <c r="J76" i="2"/>
  <c r="H76" i="2"/>
  <c r="G76" i="2"/>
  <c r="C76" i="2"/>
  <c r="O73" i="2"/>
  <c r="J73" i="2"/>
  <c r="H73" i="2"/>
  <c r="G73" i="2"/>
  <c r="C73" i="2"/>
  <c r="O70" i="2"/>
  <c r="J70" i="2"/>
  <c r="H70" i="2"/>
  <c r="G70" i="2"/>
  <c r="C70" i="2"/>
  <c r="O67" i="2"/>
  <c r="J67" i="2"/>
  <c r="H67" i="2"/>
  <c r="G67" i="2"/>
  <c r="C67" i="2"/>
  <c r="O65" i="2"/>
  <c r="J65" i="2"/>
  <c r="H65" i="2"/>
  <c r="G65" i="2"/>
  <c r="C65" i="2"/>
  <c r="O62" i="2"/>
  <c r="J62" i="2"/>
  <c r="H62" i="2"/>
  <c r="G62" i="2"/>
  <c r="C62" i="2"/>
  <c r="O59" i="2"/>
  <c r="J59" i="2"/>
  <c r="H59" i="2"/>
  <c r="G59" i="2"/>
  <c r="C59" i="2"/>
  <c r="O58" i="2"/>
  <c r="J58" i="2"/>
  <c r="H58" i="2"/>
  <c r="G58" i="2"/>
  <c r="C58" i="2"/>
  <c r="O56" i="2"/>
  <c r="J56" i="2"/>
  <c r="H56" i="2"/>
  <c r="G56" i="2"/>
  <c r="C56" i="2"/>
  <c r="O55" i="2"/>
  <c r="J55" i="2"/>
  <c r="H55" i="2"/>
  <c r="G55" i="2"/>
  <c r="C55" i="2"/>
  <c r="O54" i="2"/>
  <c r="J54" i="2"/>
  <c r="H54" i="2"/>
  <c r="G54" i="2"/>
  <c r="C54" i="2"/>
  <c r="O53" i="2"/>
  <c r="J53" i="2"/>
  <c r="H53" i="2"/>
  <c r="G53" i="2"/>
  <c r="C53" i="2"/>
  <c r="O52" i="2"/>
  <c r="J52" i="2"/>
  <c r="H52" i="2"/>
  <c r="G52" i="2"/>
  <c r="C52" i="2"/>
  <c r="O51" i="2"/>
  <c r="J51" i="2"/>
  <c r="H51" i="2"/>
  <c r="G51" i="2"/>
  <c r="C51" i="2"/>
  <c r="O50" i="2"/>
  <c r="J50" i="2"/>
  <c r="H50" i="2"/>
  <c r="G50" i="2"/>
  <c r="C50" i="2"/>
  <c r="O49" i="2"/>
  <c r="J49" i="2"/>
  <c r="H49" i="2"/>
  <c r="G49" i="2"/>
  <c r="C49" i="2"/>
  <c r="O48" i="2"/>
  <c r="J48" i="2"/>
  <c r="H48" i="2"/>
  <c r="G48" i="2"/>
  <c r="C48" i="2"/>
  <c r="O47" i="2"/>
  <c r="J47" i="2"/>
  <c r="H47" i="2"/>
  <c r="G47" i="2"/>
  <c r="C47" i="2"/>
  <c r="O46" i="2"/>
  <c r="J46" i="2"/>
  <c r="H46" i="2"/>
  <c r="G46" i="2"/>
  <c r="C46" i="2"/>
  <c r="O45" i="2"/>
  <c r="J45" i="2"/>
  <c r="H45" i="2"/>
  <c r="G45" i="2"/>
  <c r="C45" i="2"/>
  <c r="O44" i="2"/>
  <c r="J44" i="2"/>
  <c r="H44" i="2"/>
  <c r="G44" i="2"/>
  <c r="C44" i="2"/>
  <c r="O43" i="2"/>
  <c r="J43" i="2"/>
  <c r="H43" i="2"/>
  <c r="G43" i="2"/>
  <c r="C43" i="2"/>
  <c r="O41" i="2"/>
  <c r="J41" i="2"/>
  <c r="H41" i="2"/>
  <c r="G41" i="2"/>
  <c r="C41" i="2"/>
  <c r="O40" i="2"/>
  <c r="J40" i="2"/>
  <c r="H40" i="2"/>
  <c r="G40" i="2"/>
  <c r="C40" i="2"/>
  <c r="O38" i="2"/>
  <c r="J38" i="2"/>
  <c r="H38" i="2"/>
  <c r="G38" i="2"/>
  <c r="C38" i="2"/>
  <c r="O37" i="2"/>
  <c r="J37" i="2"/>
  <c r="H37" i="2"/>
  <c r="G37" i="2"/>
  <c r="C37" i="2"/>
  <c r="O36" i="2"/>
  <c r="J36" i="2"/>
  <c r="H36" i="2"/>
  <c r="G36" i="2"/>
  <c r="C36" i="2"/>
  <c r="O35" i="2"/>
  <c r="J35" i="2"/>
  <c r="H35" i="2"/>
  <c r="G35" i="2"/>
  <c r="C35" i="2"/>
  <c r="O34" i="2"/>
  <c r="J34" i="2"/>
  <c r="H34" i="2"/>
  <c r="G34" i="2"/>
  <c r="C34" i="2"/>
  <c r="O31" i="2"/>
  <c r="J31" i="2"/>
  <c r="H31" i="2"/>
  <c r="G31" i="2"/>
  <c r="C31" i="2"/>
  <c r="O30" i="2"/>
  <c r="J30" i="2"/>
  <c r="H30" i="2"/>
  <c r="G30" i="2"/>
  <c r="C30" i="2"/>
  <c r="O29" i="2"/>
  <c r="J29" i="2"/>
  <c r="H29" i="2"/>
  <c r="G29" i="2"/>
  <c r="C29" i="2"/>
  <c r="O26" i="2"/>
  <c r="J26" i="2"/>
  <c r="G26" i="2"/>
  <c r="C26" i="2"/>
  <c r="O25" i="2"/>
  <c r="J25" i="2"/>
  <c r="H25" i="2"/>
  <c r="G25" i="2"/>
  <c r="C25" i="2"/>
  <c r="O20" i="2"/>
  <c r="J20" i="2"/>
  <c r="H20" i="2"/>
  <c r="G20" i="2"/>
  <c r="C20" i="2"/>
  <c r="O19" i="2"/>
  <c r="J19" i="2"/>
  <c r="H19" i="2"/>
  <c r="G19" i="2"/>
  <c r="C19" i="2"/>
  <c r="O18" i="2"/>
  <c r="J18" i="2"/>
  <c r="H18" i="2"/>
  <c r="G18" i="2"/>
  <c r="C18" i="2"/>
  <c r="O17" i="2"/>
  <c r="J17" i="2"/>
  <c r="H17" i="2"/>
  <c r="G17" i="2"/>
  <c r="C17" i="2"/>
  <c r="O16" i="2"/>
  <c r="J16" i="2"/>
  <c r="H16" i="2"/>
  <c r="G16" i="2"/>
  <c r="C16" i="2"/>
  <c r="O13" i="2"/>
  <c r="J13" i="2"/>
  <c r="H13" i="2"/>
  <c r="G13" i="2"/>
  <c r="C13" i="2"/>
  <c r="O12" i="2"/>
  <c r="J12" i="2"/>
  <c r="H12" i="2"/>
  <c r="G12" i="2"/>
  <c r="C12" i="2"/>
  <c r="O9" i="2"/>
  <c r="J9" i="2"/>
  <c r="H9" i="2"/>
  <c r="G9" i="2"/>
  <c r="C9" i="2"/>
  <c r="O8" i="2"/>
  <c r="J8" i="2"/>
  <c r="H8" i="2"/>
  <c r="G8" i="2"/>
  <c r="C8" i="2"/>
  <c r="O7" i="2"/>
  <c r="J7" i="2"/>
  <c r="H7" i="2"/>
  <c r="G7" i="2"/>
  <c r="C7" i="2"/>
  <c r="O6" i="2"/>
  <c r="J6" i="2"/>
  <c r="H6" i="2"/>
  <c r="C6" i="2"/>
</calcChain>
</file>

<file path=xl/sharedStrings.xml><?xml version="1.0" encoding="utf-8"?>
<sst xmlns="http://schemas.openxmlformats.org/spreadsheetml/2006/main" count="11636" uniqueCount="1569">
  <si>
    <t>DATUM ISPISA: 15.1.2016.</t>
  </si>
  <si>
    <t>Rbr</t>
  </si>
  <si>
    <t>Broj ugovora/okvirnog sporazuma</t>
  </si>
  <si>
    <t>Naručitelji</t>
  </si>
  <si>
    <t>Vrsta ugovora</t>
  </si>
  <si>
    <t>Predmet ugovora/okvirnog sporazuma</t>
  </si>
  <si>
    <t>Evidencijski broj nabave</t>
  </si>
  <si>
    <t>Broj objave</t>
  </si>
  <si>
    <t>Vrsta provedenog postupka</t>
  </si>
  <si>
    <t>Iznos sklopljenog ugovora/procjenjena vrijednost kod okvirnih sporazuma</t>
  </si>
  <si>
    <t>Datum sklapanja ugovora/okvirnog sporazuma</t>
  </si>
  <si>
    <t>Rok sklapanja ugovora/okvirnog sporazuma</t>
  </si>
  <si>
    <t>Ponuditelj/i</t>
  </si>
  <si>
    <t>Konačni datum izvršenja</t>
  </si>
  <si>
    <t>Konačni isplaćeni iznos</t>
  </si>
  <si>
    <t>Obrazloženje konačnog isplaćenog iznosa</t>
  </si>
  <si>
    <t>ZAGREBAČKI HOLDING D.O.O.</t>
  </si>
  <si>
    <t>Okvirni sporazum</t>
  </si>
  <si>
    <t>POPRAVAK I REZERVNI DIJELOVI PRETVARAČA NAPONA NA INFORMATIVNIM STUPOVIMA NOSAČIMA DISPLEJA</t>
  </si>
  <si>
    <t>Otvoreni postupak javne nabave</t>
  </si>
  <si>
    <t>03.02.2015.</t>
  </si>
  <si>
    <t>03.02.2017.</t>
  </si>
  <si>
    <t>MARETON  D.O.O., ODRANSKA 1, 10000 ZAGREB</t>
  </si>
  <si>
    <t>U izvršenju</t>
  </si>
  <si>
    <t>KAMEN I KAMENI AGREGATI - ERUPTIVNI</t>
  </si>
  <si>
    <t>20.03.2015.</t>
  </si>
  <si>
    <t>20.03.2017.</t>
  </si>
  <si>
    <t>KAMING D.D., ZAGORSKA 1, 42222 LJUBEŠĆICA</t>
  </si>
  <si>
    <t>VODOOPSKRBA I ODVODNJA D.O.O., ZAGREBAČKI HOLDING D.O.O.</t>
  </si>
  <si>
    <t>ISPITIVANJE OTPADNIH VODA NA KONTROLNIM MJERNIM OKNIMA</t>
  </si>
  <si>
    <t>HIDRO.LAB. D.O.O., KOLAVIĆI 5, 51414 IČIĆI</t>
  </si>
  <si>
    <t>TRAKASTE ZAVJESE I ŽALUZINE</t>
  </si>
  <si>
    <t>30.01.2015.</t>
  </si>
  <si>
    <t>30.01.2017.</t>
  </si>
  <si>
    <t>ELCON D.O.O., MEĐIMURSKA 2, 42000 VARAŽDIN</t>
  </si>
  <si>
    <t>PRIMAT-RD D.O.O., ZASTAVNICE 11, 10251 HRVATSKI LESKOVAC</t>
  </si>
  <si>
    <t>OBRT ZA PROIZVODNJU I POSTAVLJANJE ROLETA "RO-LO", VL. IVICA LOVRIŠEC, AUGUSTA MUSIĆA 24, 10000 ZAGREB</t>
  </si>
  <si>
    <t>VOZNE, PARKIRNE I PVC KARTICE</t>
  </si>
  <si>
    <t>10.02.2015.</t>
  </si>
  <si>
    <t>10.02.2017.</t>
  </si>
  <si>
    <t>AKD D.O.O., SAVSKA CESTA 31, 10000 ZAGREB</t>
  </si>
  <si>
    <t>ŽIČANI PROIZVODI</t>
  </si>
  <si>
    <t>16.02.2015.</t>
  </si>
  <si>
    <t>16.02.2017.</t>
  </si>
  <si>
    <t>SMIT-COMMERCE D.O.O., GORNJOSTUPNIČKA 9B, 10255 GORNJI STUPNIK</t>
  </si>
  <si>
    <t>ZELINAPROMET d.o.o., DRENOVA GORNJA 1C, 10382 DONJA ZELINA</t>
  </si>
  <si>
    <t>UNIVERZAL ŽICA D.O.O., IV TROKUT 1B, 10000 ZAGREB</t>
  </si>
  <si>
    <t>DENDRO BILJE; GRUPA 1. Drveće bjelogorica</t>
  </si>
  <si>
    <t>08.04.2015.</t>
  </si>
  <si>
    <t>08.04.2017.</t>
  </si>
  <si>
    <t>MBM D.O.O., DOLENICA 8, 10250 LUČKO</t>
  </si>
  <si>
    <t>KEMIJSKO ČIŠĆENJE, PRANJE I GLAČANJE ODJEĆE I OSTALIH TKANINA</t>
  </si>
  <si>
    <t>KEMITEKS D.O.O., LUKE BARETINA 5, 10312 KLOŠTAR IVANIĆ</t>
  </si>
  <si>
    <t>BRISAČI I DIJELOVI BRISAČA TRAMVAJA</t>
  </si>
  <si>
    <t>27.01.2015.</t>
  </si>
  <si>
    <t>27.01.2017.</t>
  </si>
  <si>
    <t>DETA PRUT D.O.O., ODRANSKA 12, 10000 ZAGREB</t>
  </si>
  <si>
    <t>PROFILI LIMENI SAVIJENI KOLNOG ORMARA TRAMVAJA</t>
  </si>
  <si>
    <t>FILTERI ZA VOZILA</t>
  </si>
  <si>
    <t>29.05.2015.</t>
  </si>
  <si>
    <t>29.05.2017.</t>
  </si>
  <si>
    <t xml:space="preserve">C.I.A.K. D.O.O., </t>
  </si>
  <si>
    <t>M.B. AUTO  d.o.o., KOLEDOVČINA 8, 10000 ZAGREB</t>
  </si>
  <si>
    <t>TAHOGRAF D.O.O., DR. FRANJE TUĐMANA 24, 10431 SVETA NEDELJA</t>
  </si>
  <si>
    <t>AUTO HRVATSKA PRODAJNO SERVISNI CENTRI D.O.O., ZASTAVNICE 25/C, 10251 HRVATSKI LESKOVAC</t>
  </si>
  <si>
    <t>TRGOMETAL D.O.O., KOVINSKA 4, 10090 ZAGREB-SUSEDGRAD</t>
  </si>
  <si>
    <t>REZERVNI DIJELOVI I POPRAVAK VALJAKA MARKE BOMAG</t>
  </si>
  <si>
    <t>23.03.2015.</t>
  </si>
  <si>
    <t>23.03.2017.</t>
  </si>
  <si>
    <t>O-K-TEH d.o.o., VUČAK 16A, 10000 ZAGREB</t>
  </si>
  <si>
    <t>SEMAFORSKO SIGNALNE ŽARULJE</t>
  </si>
  <si>
    <t>08.05.2015.</t>
  </si>
  <si>
    <t>08.05.2017.</t>
  </si>
  <si>
    <t>ELEKTRO-KOMUNIKACIJE D.O.O., 14. PODBREŽJE 4, 10000 ZAGREB</t>
  </si>
  <si>
    <t>TEMAT D.O.O., SV. BARBARE 22, 10000 ZAGREB</t>
  </si>
  <si>
    <t>ELEKTROCENTAR PETEK D.O.O., ETANSKA CESTA 8, 10310 IVANIĆ-GRAD</t>
  </si>
  <si>
    <t>GRADSKO STAMBENO KOMUNALNO GOSPODARSTVO D.O.O., VODOOPSKRBA I ODVODNJA D.O.O., ZAGREBAČKI HOLDING D.O.O.</t>
  </si>
  <si>
    <t>NAJAM I ČIŠĆENJE KEMIJSKIH TOALETNIH KABINA</t>
  </si>
  <si>
    <t>02.04.2015.</t>
  </si>
  <si>
    <t>02.04.2017.</t>
  </si>
  <si>
    <t>TOI TOI D.O.O., KVINTIČKA 16, 10000 ZAGREB</t>
  </si>
  <si>
    <t>VODOVODNA I KANALSKA ARMATURA; GRUPA 2. Zamjenski tip Vulkan ili jednakovrijedan</t>
  </si>
  <si>
    <t>20.05.2015.</t>
  </si>
  <si>
    <t>20.05.2019.</t>
  </si>
  <si>
    <t>VODOSKOK D.D., ČULINEČKA CESTA 221/C, 10040 ZAGREB</t>
  </si>
  <si>
    <t>VODOOPSKRBA I ODVODNJA D.O.O.</t>
  </si>
  <si>
    <t>ARMATURE OD NODULARNOG LIJEVA</t>
  </si>
  <si>
    <t>16.04.2015.</t>
  </si>
  <si>
    <t>16.04.2017.</t>
  </si>
  <si>
    <t>HIDROCOM D.O.O., ANTUNA MIHANOVIĆA 55, 33405 PITOMAČA</t>
  </si>
  <si>
    <t>TEHNOKOM D.O.O., RADNIČKA CESTA 228, 10000 ZAGREB</t>
  </si>
  <si>
    <t>REZERVNI DIJELOVI I SERVIS VOZILA MARKE IVECO</t>
  </si>
  <si>
    <t>06.08.2015.</t>
  </si>
  <si>
    <t>06.08.2017.</t>
  </si>
  <si>
    <t>UKRASNE POSUDE ZA CVIJEĆE; GRUPA 1. Ukrasne posude za cvijeće od stakla, keramike i terakote</t>
  </si>
  <si>
    <t>POLIMEROM MODIFICIRANI BITUMEN</t>
  </si>
  <si>
    <t>13.04.2015.</t>
  </si>
  <si>
    <t>13.04.2017.</t>
  </si>
  <si>
    <t>AGS HRVATSKA D.O.O., ZAGREBAČKA AVENIJA 100A, 10090 ZAGREB</t>
  </si>
  <si>
    <t>CESTOGRAĐEVNI BITUMEN (35/50)</t>
  </si>
  <si>
    <t>06.05.2015.</t>
  </si>
  <si>
    <t>06.05.2017.</t>
  </si>
  <si>
    <t>DIJELOVI SUSTAVA VRATA ZA TRAMVAJE PROIZVOĐAČA KNORR BREMSE - DIVISION IFE</t>
  </si>
  <si>
    <t>TRESET, SUPSTRATI I KORA DRVETA ZA UZGOJ BILJA</t>
  </si>
  <si>
    <t>FOLIJE, TRAKE, BOJE ZA SITOTISAK I PRIBOR ZA VERTIKALNU I HORIZONTALNU SIGNALIZACIJU</t>
  </si>
  <si>
    <t>19.03.2015.</t>
  </si>
  <si>
    <t>19.03.2017.</t>
  </si>
  <si>
    <t>PISMORAD D.D., III MALEŠNICA 12, 10000 ZAGREB</t>
  </si>
  <si>
    <t>REZERVNI DIJELOVI ZA TRAMVAJE ČKD</t>
  </si>
  <si>
    <t>23.09.2015.</t>
  </si>
  <si>
    <t>23.09.2017.</t>
  </si>
  <si>
    <t>INDUSTROOPREMA D.O.O, CMP OBRTNIČKA 1, 10000 ZAGREB</t>
  </si>
  <si>
    <t>USLUGA PROCJENE TRŽIŠNE VRIJEDNOSTI NEKRETNINA (ZEMLJIŠTA I GRAĐEVINSKIH OBJEKATA)</t>
  </si>
  <si>
    <t>03.04.2015.</t>
  </si>
  <si>
    <t>03.04.2016.</t>
  </si>
  <si>
    <t>ZEBAU D.O.O., BRAĆE BUKOVINA 38C, 10290 ZAPREŠIĆ</t>
  </si>
  <si>
    <t>USLUGE PRIMJENE I ODRŽAVANJA PROGRAMSKE OPREME APIS IT</t>
  </si>
  <si>
    <t>15.04.2015.</t>
  </si>
  <si>
    <t>15.04.2017.</t>
  </si>
  <si>
    <t>APIS IT D.O.O., PALJETKOVA 18, 10000 ZAGREB</t>
  </si>
  <si>
    <t>POVREMENI NAJAM BULDOŽERA</t>
  </si>
  <si>
    <t>03.04.2017.</t>
  </si>
  <si>
    <t>I.B. JAZBINA D.O.O., JAZBINA 151, 10000 ZAGREB</t>
  </si>
  <si>
    <t>POVREMENI NAJAM KAMIONA S TERMOKONTEJNEROM ZA PRIJEVOZ ASFALTA</t>
  </si>
  <si>
    <t>07.05.2015.</t>
  </si>
  <si>
    <t>07.05.2017.</t>
  </si>
  <si>
    <t>POVREMENI NAJAM RADNOG STROJA GREJDERA</t>
  </si>
  <si>
    <t>POVREMENI NAJAM HIDRAULIČKOG BAGERA S OKRETNOM KUPOLOM</t>
  </si>
  <si>
    <t>30.03.2015.</t>
  </si>
  <si>
    <t>30.03.2017.</t>
  </si>
  <si>
    <t>AUTOPRIJEVOZNIK I USLUGE GRAĐEVINSKOM MEHANIZACIJOM, VL. ŽELJKO SMOLKOVIĆ, MIŠKININA 34A, 10020 ZAGREB-NOVI ZAGREB</t>
  </si>
  <si>
    <t>POVREMENI NAJAM KAMIONA S UREĐAJEM ZA SAMOUTOVAR I ISTOVAR</t>
  </si>
  <si>
    <t>26.03.2015.</t>
  </si>
  <si>
    <t>26.03.2017.</t>
  </si>
  <si>
    <t>BEŠIĆ-PROM D.O.O., BEŠIĆI 22, 10000 ZAGREB</t>
  </si>
  <si>
    <t>POVREMENI NAJAM TRAKTORA S PRIKLJUČNIM KANALOKOPAČEM</t>
  </si>
  <si>
    <t>30.05.2015.</t>
  </si>
  <si>
    <t>30.05.2017.</t>
  </si>
  <si>
    <t>POLJO-PROM, VL. ZLATKO KRIŽANIĆ, HRAŠĆE TUROPOLJSKO, KRIŽANIĆI 27, 10020 ZAGREB-NOVI ZAGREB</t>
  </si>
  <si>
    <t>BRZOVEŽUĆI REPARATURNI MORT</t>
  </si>
  <si>
    <t>01.07.2015.</t>
  </si>
  <si>
    <t>01.07.2017.</t>
  </si>
  <si>
    <t>SAMOBORKA D.D., ZAGREBAČKA 32/A, 10430 SAMOBOR</t>
  </si>
  <si>
    <t>REZERVNI DIJELOVI, POPRAVAK I ODRŽAVANJE UREĐAJA ZA AUTOMATSKO UPRAVLJANJE SKRETNICOM WS 90 E PROIZVOĐAČA SIEMENS</t>
  </si>
  <si>
    <t>ELEKTROKEM D.O.O., VUGROVEC, AUGUSTA ŠENOE 69, 10360 SESVETE</t>
  </si>
  <si>
    <t>LJEPILO ZA POLAGANJE GUMENIH PODOVA</t>
  </si>
  <si>
    <t>CHROMOS D.D., ZAGREBAČKA 30, 10430 SAMOBOR</t>
  </si>
  <si>
    <t>PVC PROIZVODNI LONCI I PALETE ZA PROIZVODNJU BILJA</t>
  </si>
  <si>
    <t>07.04.2015.</t>
  </si>
  <si>
    <t>07.04.2017.</t>
  </si>
  <si>
    <t>LAMINATNE LJUSKE OD POLIESTERA ZA TRAMVAJ</t>
  </si>
  <si>
    <t>19.06.2015.</t>
  </si>
  <si>
    <t>19.06.2017.</t>
  </si>
  <si>
    <t>AUTO-MAG D.O.O., GORNJOSTUPNIČKA 1/d, 10255 GORNJI STUPNIK</t>
  </si>
  <si>
    <t>REZERVNI DIJELOVI ZA VOZILA MARKE MERCEDES - AUTOBUSNI PROGRAM; GRUPA 1 DIJELOVI KOČIONOG SUSTAVA</t>
  </si>
  <si>
    <t>07.08.2015.</t>
  </si>
  <si>
    <t>07.08.2017.</t>
  </si>
  <si>
    <t>VIJCI, ČAVLI I SPOJNI ELEMENTI</t>
  </si>
  <si>
    <t>09.06.2015.</t>
  </si>
  <si>
    <t>09.06.2017.</t>
  </si>
  <si>
    <t>DIV D.O.O., BOBOVICA 10/A, 10430 SAMOBOR</t>
  </si>
  <si>
    <t>BAKAR I PROIZVODI OD BAKRA; GRUPA 1 BAKAR I PROIZVODI OD BAKRA</t>
  </si>
  <si>
    <t>15.06.2015.</t>
  </si>
  <si>
    <t>15.06.2017.</t>
  </si>
  <si>
    <t>STROJOPROMET-ZAGREB D.O.O., ZAGREBAČKA 6, 10292 ŠENKOVEC</t>
  </si>
  <si>
    <t>OMNIMERKUR D.O.O., GORNJOSTUPNIČKA 1B, 10255 GORNJI STUPNIK</t>
  </si>
  <si>
    <t>ORMARIĆI INFRASTRUKTURE TRAMVAJSKOG KOLOSIJEKA</t>
  </si>
  <si>
    <t>20.07.2015.</t>
  </si>
  <si>
    <t>20.07.2017.</t>
  </si>
  <si>
    <t>ŽR TRGOVINA D.O.O., ZAGREBAČKA 7, 10292 ŠENKOVEC</t>
  </si>
  <si>
    <t>RS METALI D.D., NOVAKI, A. VOJVODIĆA 17, 10431 SVETA NEDELJA</t>
  </si>
  <si>
    <t>LABORATORIJSKI PRIBOR</t>
  </si>
  <si>
    <t>11.08.2015.</t>
  </si>
  <si>
    <t>11.08.2017.</t>
  </si>
  <si>
    <t>KUNA CORPORATION D.O.O., DRAŠE 68, 49294 KRALJEVEC NA SUTLI</t>
  </si>
  <si>
    <t>KEFO D.O.O., NIKOLE TESLE 10, 44000 SISAK</t>
  </si>
  <si>
    <t>A N A S D.O.O., TOME MARETIĆA 6, 10000 ZAGREB</t>
  </si>
  <si>
    <t>CIJEVI PEHD, PVC I KORUGIRANE</t>
  </si>
  <si>
    <t>28.07.2015.</t>
  </si>
  <si>
    <t>28.07.2017.</t>
  </si>
  <si>
    <t>PIPELIFE-HRVATSKA D.O.O., KERESTINEC, PROSINAČKA 7, 10431 SVETA NEDJELJA</t>
  </si>
  <si>
    <t>DRVENE PLOČE I PANELI; GRUPA 1 DRVENE PODNE I ZIDNE OBLOGE</t>
  </si>
  <si>
    <t>03.08.2015.</t>
  </si>
  <si>
    <t>03.08.2017.</t>
  </si>
  <si>
    <t>TOKOS D.O.O., PAPOVA 10, 10000 ZAGREB</t>
  </si>
  <si>
    <t>ZVUČNI SIGNALIZATORI ZA SLIJEPE I SLABOVIDNE OSOBE; GRUPA 1 ZVUČNI SIGNALIZATOR ZA SLIJEPE I SLABOVIDNE OSOBE – KAO TIP FANOS  VG2.1 ILI JEDNAKOVRIJEDNI PROIZVOD</t>
  </si>
  <si>
    <t>PEEK PROMET D.O.O., SELSKA CESTA 93, 10000 ZAGREB</t>
  </si>
  <si>
    <t>FANOS D.O.O., KRANJČEVIĆEVA 48, 10000 ZAGREB</t>
  </si>
  <si>
    <t>GRADSKA PLINARA ZAGREB OPSKRBA D.O.O., ZAGREBAČKI HOLDING D.O.O.</t>
  </si>
  <si>
    <t>RAZNI PROMIDŽBENI MATERIJAL</t>
  </si>
  <si>
    <t>20.05.2017.</t>
  </si>
  <si>
    <t>TOVEDO D.O.O., KLIN 31, 10000 ZAGREB</t>
  </si>
  <si>
    <t>LKD - 1992 D.O.O., GRAHOROVA 15, 10000 ZAGREB</t>
  </si>
  <si>
    <t>MARINES D.O.O., RADNIČKA CESTA 32, 10000 ZAGREB</t>
  </si>
  <si>
    <t>ODRŽAVANJE I NADOGRADNJA PROGRAMSKOG SUSTAVA CENTRIX</t>
  </si>
  <si>
    <t>10.07.2015.</t>
  </si>
  <si>
    <t>10.07.2017.</t>
  </si>
  <si>
    <t>OMEGA SOFTWARE D.O.O., OREŠKOVIĆEVA 25, 10010 ZAGREB-SLOBOŠTINA</t>
  </si>
  <si>
    <t>ODRŽAVANJE I NADOGRADNJA PROGRAMSKOG SUSTAVA LAUS/ARGOSY</t>
  </si>
  <si>
    <t>15.05.2015.</t>
  </si>
  <si>
    <t>15.05.2017.</t>
  </si>
  <si>
    <t>LAUS CC D.O.O., VUKOVARSKA 14, 20000 DUBROVNIK</t>
  </si>
  <si>
    <t>USLUGE U POKRETNOJ ELEKTRONIČKOJ KOMUNIKACIJSKOJ MREŽI</t>
  </si>
  <si>
    <t>13.07.2015.</t>
  </si>
  <si>
    <t>13.07.2017.</t>
  </si>
  <si>
    <t>VIPNET D.O.O., VRTNI PUT 1, 10000 ZAGREB</t>
  </si>
  <si>
    <t>CESTOGRAĐEVNI BITUMEN (70/100)</t>
  </si>
  <si>
    <t>29.07.2015.</t>
  </si>
  <si>
    <t>29.07.2017.</t>
  </si>
  <si>
    <t>LUKOIL CROATIA D.O.O., CAPRAŠKA ULICA 6, 10000 ZAGREB</t>
  </si>
  <si>
    <t>GRŽINČIĆ D.O.O., PODSTRMAC 6, 51217 KLANA</t>
  </si>
  <si>
    <t>KAMEN I KAMENI AGREGATI - DOLOMITNI</t>
  </si>
  <si>
    <t>15.06.2019.</t>
  </si>
  <si>
    <t>KAMENOLOM GORJAK D.O.O., GORNJE JESENJE bb, 49233 GORNJE JESENJE</t>
  </si>
  <si>
    <t>GRADSKA PLINARA ZAGREB OPSKRBA D.O.O., GRADSKO STAMBENO KOMUNALNO GOSPODARSTVO D.O.O., VODOOPSKRBA I ODVODNJA D.O.O., ZAGREBAČKI HOLDING D.O.O.</t>
  </si>
  <si>
    <t>OSOBNA ZAŠTITNA SREDSTVA; GRUPA 1 ZAŠTITNA OSOBNA SREDSTVA (REZERVIRANI UGOVOR)</t>
  </si>
  <si>
    <t>21.07.2015.</t>
  </si>
  <si>
    <t>21.07.2017.</t>
  </si>
  <si>
    <t>URIHO - ZAGREB, AVENIJA MARINA DRŽIĆA 1, 10000 ZAGREB</t>
  </si>
  <si>
    <t>REZERVNI DIJELOVI I POPRAVAK U SUDARU OŠTEĆENIH TRAMVAJA NT 2200 I NT 2300</t>
  </si>
  <si>
    <t>KONČAR-ELEKTRIČNA VOZILA D.D., ANTE BABAJE 1, 10090 ZAGREB-SUSEDGRAD</t>
  </si>
  <si>
    <t>GRADSKA PLINARA ZAGREB D.O.O., GRADSKA PLINARA ZAGREB OPSKRBA D.O.O., GRADSKO STAMBENO KOMUNALNO GOSPODARSTVO D.O.O., VODOOPSKRBA I ODVODNJA D.O.O., ZAGREBAČKI HOLDING D.O.O.</t>
  </si>
  <si>
    <t>REDOVNI TEHNIČKI PREGLED VOZILA</t>
  </si>
  <si>
    <t>CENTAR ZA VOZILA HRVATSKE D.D., CAPRAŠKA 6, 10000 ZAGREB</t>
  </si>
  <si>
    <t>LIJEVANA GUMA</t>
  </si>
  <si>
    <t>22.07.2015.</t>
  </si>
  <si>
    <t>22.07.2017.</t>
  </si>
  <si>
    <t>GUMIIMPEX - GRP D.D., PAVLEKA MIŠKINE 64C, 42000 VARAŽDIN</t>
  </si>
  <si>
    <t>DIJELOVI KOLNOG SLOGA I DRUGI DIJELOVI TRAMVAJA</t>
  </si>
  <si>
    <t>KOVING d.o.o., CEHOVSKA 3, 42000 VARAŽDIN</t>
  </si>
  <si>
    <t>BIZMUT D.O.O., BUCONJIĆEVA 1, 10000 ZAGREB</t>
  </si>
  <si>
    <t>REZERVNI DIJELOVI ZA VOZILA MARKE MAN - AUTOBUSNI PROGRAM; GRUPA 4. DIJELOVI KAROSERIJE</t>
  </si>
  <si>
    <t>24.07.2015.</t>
  </si>
  <si>
    <t>24.07.2017.</t>
  </si>
  <si>
    <t>MAN IMPORTER HRVATSKA D.O.O., ZASTAVNICE 25C, 10251 HRVATSKI LESKOVAC</t>
  </si>
  <si>
    <t>SOBOSLIKARSKO- LIČILAČKI RADOVI</t>
  </si>
  <si>
    <t>GRADITELJSTVO PAVE VUKELIĆ D.O.O., LUKARSKA, LUKARIŠĆE 43, 10370 DUGO SELO</t>
  </si>
  <si>
    <t>ADRIA GRUPA D.O.O., HEINZELOVA 53/A, 10000 ZAGREB</t>
  </si>
  <si>
    <t>IVAMONT D.O.O., VULINČEVA 24, 10310 IVANIĆ-GRAD</t>
  </si>
  <si>
    <t>MIL-PIL D.O.O., LANIŠTE 3A, 10020 ZAGREB</t>
  </si>
  <si>
    <t>LTG PROJEKTIRANJE I GRAĐENJE, TRGOVINA I USLUGE, IZVOZ I UVOZ D.O.O., SRPANJSKA 2, 10000 ZAGREB</t>
  </si>
  <si>
    <t>POPRAVAK I ODRŽAVANJE TRAMVAJSKIH VOZILA NT 2200 I NT 2300</t>
  </si>
  <si>
    <t>GRADSKA PLINARA ZAGREB OPSKRBA D.O.O., VODOOPSKRBA I ODVODNJA D.O.O., ZAGREBAČKI HOLDING D.O.O.</t>
  </si>
  <si>
    <t>KAVA I APARATI ZA PRIPREMU KAVE</t>
  </si>
  <si>
    <t>12.05.2015.</t>
  </si>
  <si>
    <t>12.05.2017.</t>
  </si>
  <si>
    <t>PROMAC D.O.O., DRAGUTINA GOLIKA 38, 10000 ZAGREB</t>
  </si>
  <si>
    <t>RADOVI NA POPRAVKU TRAMVAJSKIH PRUGA</t>
  </si>
  <si>
    <t>GTM D.O.O., JURAJA HABDELIĆA 14, 10410 VELIKA GORICA</t>
  </si>
  <si>
    <t>P.G.P. D.O.O., KUTJEVAČKA 8, 10000 ZAGREB</t>
  </si>
  <si>
    <t>GEORAD D.O.O., KORNATSKA 1, 10000 ZAGREB</t>
  </si>
  <si>
    <t>ODRŽAVANJE INFORMACIJSKIH SUSTAVA PROIZVOĐAČA INFODATA</t>
  </si>
  <si>
    <t>25.05.2015.</t>
  </si>
  <si>
    <t>25.05.2017.</t>
  </si>
  <si>
    <t>INFODATA, VL. DRŽISLAV DLESK, CMP SAVICA ŠANCI 111, 10000 ZAGREB</t>
  </si>
  <si>
    <t>DRVENA PILJENA GRAĐA</t>
  </si>
  <si>
    <t>02.06.2015.</t>
  </si>
  <si>
    <t>02.06.2017.</t>
  </si>
  <si>
    <t>GEC GP D.O.O., LUČIĆKA CESTA 3, 51300 DELNICE</t>
  </si>
  <si>
    <t>BILAĆ COLOR D.O.O., VODIĆKA 24, 10000 ZAGREB</t>
  </si>
  <si>
    <t>AGM D.O.O., VODOOPSKRBA I ODVODNJA D.O.O., ZAGREBAČKI HOLDING D.O.O.</t>
  </si>
  <si>
    <t>STAKLO, STAKLARSKI MATERIJAL I STAKLARSKE USLUGE</t>
  </si>
  <si>
    <t>ODRŽAVANJE, SANACIJA I NADOGRADNJA KABELSKE KANALIZACIJE NA PODRUČJU GRADA ZAGREBA</t>
  </si>
  <si>
    <t>27.07.2015.</t>
  </si>
  <si>
    <t>27.07.2017.</t>
  </si>
  <si>
    <t>TELEFONVOD D.O.O., MESTINJSKI PUT 22, 10000 ZAGREB</t>
  </si>
  <si>
    <t>M.SOLDO D.O.O., DEBANIĆEVA 39, 10000 ZAGREB</t>
  </si>
  <si>
    <t>MONTEL D.O.O., HORVATOVA 48/B, 10000 ZAGREB</t>
  </si>
  <si>
    <t>LEŽAJEVI</t>
  </si>
  <si>
    <t>SAFIR D.O.O., HORVAĆANSKA 17, 10000 ZAGREB</t>
  </si>
  <si>
    <t>AUTO HRVATSKA AUTODIJELOVI D.O.O., RADNIČKA CESTA 182, 10000 ZAGREB</t>
  </si>
  <si>
    <t>OBRADA OTPADA KB 20 01 38, DRVO KOJE NE SADRŽI OPASNE TVARI POSTUPCIMA OPORABE R1-R12</t>
  </si>
  <si>
    <t>04.11.2015.</t>
  </si>
  <si>
    <t>04.11.2017.</t>
  </si>
  <si>
    <t>CE-ZA-R D.O.O., JOSIPA LONČARA 15, 10090 ZAGREB</t>
  </si>
  <si>
    <t>MULL-TRANS D.O.O., MOKRICE 180C, 49243 OROSLAVJE</t>
  </si>
  <si>
    <t>REZERVNI DIJELOVI KOČIONOG SUSTAVA PROIZVOĐAČA KNORR ZA TRAMVAJE</t>
  </si>
  <si>
    <t>ŠLJUNAK I PIJESAK RIJEČNI, JEZERSKI</t>
  </si>
  <si>
    <t>REZERVNI DIJELOVI I POPRAVAK SPECIJALNIH VOZILA MARKE MERCEDES - BENZ UNIMOG</t>
  </si>
  <si>
    <t>NIVAG EXPORT D.O.O., D. CESARIĆA 24, 10430 SAMOBOR</t>
  </si>
  <si>
    <t>POSEBNI LINIJSKI I POVREMENI PRIJEVOZ PUTNIKA U UNUTARNJEM CESTOVNOM PROMETU</t>
  </si>
  <si>
    <t>ČAZMATRANS - NOVA D.O.O., MILANA NOVAČIĆA 10, 43240 ČAZMA</t>
  </si>
  <si>
    <t>AUTOTURIST SAMOBOR  D.O.O., DOBRIŠE CESARIĆA 26, 10430 SAMOBOR</t>
  </si>
  <si>
    <t>AUTOTRANS D.O.O., ŠETALIŠTE 20. TRAVNJA 18, 51557 CRES</t>
  </si>
  <si>
    <t>GRADSKA PLINARA ZAGREB OPSKRBA D.O.O.</t>
  </si>
  <si>
    <t>ODRŽAVANJE SUSTAVA ZA MASOVNI ISPIS I KUVERTIRANJE ZA GRADSKU PLINARU ZAGREB - OPSKRBA d.o.o.</t>
  </si>
  <si>
    <t>XAGENT D.O.O., SAMOBORSKA CESTA 145, 10000 ZAGREB</t>
  </si>
  <si>
    <t>POPRAVAK I REZERVNI DIJELOVI PUMPI VISOKOG PRITISKA</t>
  </si>
  <si>
    <t>27.05.2015.</t>
  </si>
  <si>
    <t>27.05.2017.</t>
  </si>
  <si>
    <t>PURIĆ D.O.O., ANDRIJE HEBRANGA 54, 10430 SAMOBOR</t>
  </si>
  <si>
    <t>BOJE, LAKOVI, PIGMENTI I POMOĆNI MATERIJAL ZA MJEŠAONICU BOJA STANDOX</t>
  </si>
  <si>
    <t>28.05.2015.</t>
  </si>
  <si>
    <t>28.05.2017.</t>
  </si>
  <si>
    <t>VELEKEM D.D., AVENIJA DUBROVNIK 46, 10000 ZAGREB</t>
  </si>
  <si>
    <t>OPREMA I REKVIZITI ZA SPORT I REKREACIJU</t>
  </si>
  <si>
    <t>24.04.2015.</t>
  </si>
  <si>
    <t>24.04.2017.</t>
  </si>
  <si>
    <t>SPORT NET INŽENJERING J.D.O.O., LAVOSLAVA RUŽIČKOG 3, 10000 ZAGREB</t>
  </si>
  <si>
    <t>GRADSKA PLINARA ZAGREB OPSKRBA D.O.O., VODOOPSKRBA I ODVODNJA D.O.O.</t>
  </si>
  <si>
    <t>ULJA I MAZIVA</t>
  </si>
  <si>
    <t>23.07.2015.</t>
  </si>
  <si>
    <t>23.07.2017.</t>
  </si>
  <si>
    <t>INA MAZIVA D.O.O., RADNIČKA CESTA 175, 10000 ZAGREB</t>
  </si>
  <si>
    <t>AGM D.O.O., GRADSKA PLINARA ZAGREB OPSKRBA D.O.O., GRADSKO STAMBENO KOMUNALNO GOSPODARSTVO D.O.O., VODOOPSKRBA I ODVODNJA D.O.O., ZAGREBAČKI HOLDING D.O.O.</t>
  </si>
  <si>
    <t>TISKARSKE USLUGE</t>
  </si>
  <si>
    <t>ODRŽAVANJE I NADOGRADNJA INFORMACIJSKOG SUSTAVA PROIZVOĐAČA KOR</t>
  </si>
  <si>
    <t>20.04.2015.</t>
  </si>
  <si>
    <t>20.04.2017.</t>
  </si>
  <si>
    <t>KOR D.O.O., KRANJČEVIĆEVA 69, 10000 ZAGREB</t>
  </si>
  <si>
    <t>NAJAM OCTANORM KONSTRUKCIJE S IZVEDBOM IZLOŽBENOG PROSTORA</t>
  </si>
  <si>
    <t>08.07.2015.</t>
  </si>
  <si>
    <t>08.07.2017.</t>
  </si>
  <si>
    <t>ČIS-ŠTEFANAC, VL. MILAN ŠTEFANAC, 14. PODBREŽJE 7, 10000 ZAGREB</t>
  </si>
  <si>
    <t>POSTAVLJANJE UMJETNE TRAVE I PRIPADAJUĆE OPREME NA IGRALIŠTA U GRADU ZAGREBU</t>
  </si>
  <si>
    <t>18.05.2015.</t>
  </si>
  <si>
    <t>18.05.2017.</t>
  </si>
  <si>
    <t>MAXMAR GRUPA  D.O.O., REPULIČEVA 6, 10450 KLINČA SELA</t>
  </si>
  <si>
    <t>HITNE INTERVENCIJE NA POPRAVCIMA KROVOVA</t>
  </si>
  <si>
    <t>RANUS D.O.O., STUBIČKA 44, 10000 ZAGREB</t>
  </si>
  <si>
    <t>GRADITELJSTVO I TRGOVINA PERIĆ D.O.O., NAD LIPOM 12, 10000 ZAGREB</t>
  </si>
  <si>
    <t>FOTON PROMET D.O.O., VUGROVEC, A. ŠENOE 25, 10360 SESVETE</t>
  </si>
  <si>
    <t>SPRAVE ZA DJEČJA IGRALIŠTA, REZERVNI DIJELOVI I POPRAVAK SPRAVA PROIZVOĐAČA REDOX</t>
  </si>
  <si>
    <t>REDOX D.O.O., LANIŠTE 24, 10000 ZAGREB</t>
  </si>
  <si>
    <t>POVREMENI NAJAM SPECIJALNOG STROJA ZA ISKOPE NA TEŠKO DOSTUPNIM MJESTIMA</t>
  </si>
  <si>
    <t>ODRŽAVANJE I NADOGRADNJA WEB I MOBILNE APLIKACIJE "MOJ RAČUN"</t>
  </si>
  <si>
    <t>30.04.2015.</t>
  </si>
  <si>
    <t>30.04.2017.</t>
  </si>
  <si>
    <t>PRIJEVOZ ASFALTNE MASE I OSTALOG RASUTOG MATERIJALA; GRUPA 1. Teretna vozila minimalne nosivosti 7 t do maksimalne nosivosti 12 t</t>
  </si>
  <si>
    <t>PRIJEVOZ I STROJNI ISKOP "KRZNAR", VL. DAWID KRZNAR, MARTINEC OREHOVIČKI 38, 49221 BEDEKOVČINA</t>
  </si>
  <si>
    <t>ELEMENTI ZAŠTITNIH ČELIĆNIH OGRADA UZ CESTE</t>
  </si>
  <si>
    <t>DALEKOVOD PROIZVODNJA D.O.O., TRNOŠČICA 17, 10370 DUGO SELO</t>
  </si>
  <si>
    <t>ZAMJENSKE SEMAFORSKE LATERNE; GRUPA 1. Zamjenske semaforske laterne marke Siemens</t>
  </si>
  <si>
    <t>GRAĐEVINSKI RADOVI NA ODRŽAVANJU CESTA I ULICA GRADA ZAGREBA</t>
  </si>
  <si>
    <t>EKO-MIKS D.O.O., MARŠALA TITA 134, 10290 ZAPREŠIĆ</t>
  </si>
  <si>
    <t>TEGRA D.O.O., MIHOVLJANSKA 70, 40000 ČAKOVEC</t>
  </si>
  <si>
    <t>GNP-TERMOMONT D.O.O., GRANIČNA 24, 10000 ZAGREB</t>
  </si>
  <si>
    <t>NISKOGRADNJA DONJI JALŠEVEC D.O.O., BRANOVEČKA CESTA 210, 10040 ZAGREB-DUBRAVA</t>
  </si>
  <si>
    <t>PRIGORAC-GRAĐENJE d.o.o., JELKOVEČKA 4, 10360 SESVETSE</t>
  </si>
  <si>
    <t>ŠUŠKOVIĆ-GRAĐENJE d.o.o., MARKUŠEVAČKA TRNAVA 38, 10000 ZAGREB</t>
  </si>
  <si>
    <t>GRADITELJ SVRATIŠTA D.O.O., IVANA ČESMIČKOG 16, 10000 ZAGREB</t>
  </si>
  <si>
    <t>PUGAR D.O.O., DR. ANDRIJE MOHOROVIČIĆA 7, 10410 VELIKA GORICA</t>
  </si>
  <si>
    <t>KOM-EKO D.O.O., RADNIČKA CESTA 228, 10000 ZAGREB</t>
  </si>
  <si>
    <t>TA-GRAD D.O.O., MLINOVI 110, 10000 ZAGREB</t>
  </si>
  <si>
    <t>PALIĆ INŽENJERING D.O.O., MEDOVIĆEVA 7, 10000 ZAGREB</t>
  </si>
  <si>
    <t>NERING D.O.O., LIVADARSKI PUT 24, 10360 SESVETE</t>
  </si>
  <si>
    <t>GUT D.O.O., SISAČKA 37, 10000 ZAGREB</t>
  </si>
  <si>
    <t>HVAR D.O.O., NIKOLE ŠUBIĆA ZRINSKOG 16/A, 10430 SAMOBOR</t>
  </si>
  <si>
    <t>TURKOVIĆ D.O.O., KNEZA MISLAVA 2, 10410 VELIKA GORICA</t>
  </si>
  <si>
    <t>TIGRA D.O.O., IVANIĆGRADSKA 22, 10000 ZAGREB</t>
  </si>
  <si>
    <t>REZERVNI DIJELOVI I POPRAVAK RADNIH STROJEVA MARKE FIAT HITACHI</t>
  </si>
  <si>
    <t>GRA-PO D.O.O., GOSPODARSKA 5B, 10255 ZAGREB - STUPNIK</t>
  </si>
  <si>
    <t>ODRŽAVANJE I NADOGRADNJA INFORMACIJSKOG SUSTAVA ZA UPRAVLJANJE KOLIČINAMA PRIRODNOG PLINA (UPKPP)</t>
  </si>
  <si>
    <t>17.07.2015.</t>
  </si>
  <si>
    <t>17.07.2017.</t>
  </si>
  <si>
    <t>KONČAR - KET D.D., FALLEROVO ŠETALIŠTE 22, 10000 ZAGREB</t>
  </si>
  <si>
    <t>GRADSKA PLINARA ZAGREB D.O.O.</t>
  </si>
  <si>
    <t>OPSKRBA PLINOM ZA GRADSKU PLINARU ZAGREB d.o.o.</t>
  </si>
  <si>
    <t>GRADSKA PLINARA ZAGREB-OPSKRBA D.O.O., RADNIČKA CESTA 1, 10000 ZAGREB</t>
  </si>
  <si>
    <t>REZERVNI DIJELOVI ZA SEMAFORSKE UREĐAJE; GRUPA 1. Rezervni dijelovi za semaforske uređaje SIEMENS</t>
  </si>
  <si>
    <t>15.07.2015.</t>
  </si>
  <si>
    <t>15.07.2017.</t>
  </si>
  <si>
    <t>GRADSKO STAMBENO KOMUNALNO GOSPODARSTVO D.O.O.</t>
  </si>
  <si>
    <t>ODRŽAVANJE I POPRAVAK JAVNIH ZAHODA</t>
  </si>
  <si>
    <t>18.06.2015.</t>
  </si>
  <si>
    <t>18.06.2017.</t>
  </si>
  <si>
    <t>M-COM USLUGE D.O.O., HORVATOVAC 98, 10000 ZAGREB</t>
  </si>
  <si>
    <t>POTROŠNI MATERIJAL ZA SOLVENTNE PRINTERE</t>
  </si>
  <si>
    <t>29.04.2015.</t>
  </si>
  <si>
    <t>29.04.2017.</t>
  </si>
  <si>
    <t>ANING USLUGE D.O.O., ZELENI TRG 4, 10000 ZAGREB</t>
  </si>
  <si>
    <t>REZANE RUŽE</t>
  </si>
  <si>
    <t>SPRAVE ZA DJEČJA IGRALIŠTA, REZERVNI DIJELOVI I POPRAVAK SPRAVA PROIZVOĐAČA DILJEXPORT</t>
  </si>
  <si>
    <t>DILJEXPORT D.O.O., ZLATKA ŠULENTIĆA 9, 10000 ZAGREB</t>
  </si>
  <si>
    <t>SPRAVE ZA DJEČJA IGRALIŠTA, REZERVNI DIJELOVI I POPRAVAK SPRAVA PROIZVOĐAČA PANEX MIX</t>
  </si>
  <si>
    <t>14.05.2015.</t>
  </si>
  <si>
    <t>14.05.2017.</t>
  </si>
  <si>
    <t>PANEX - MIX D.O.O., DR. TOME BRATKOVIĆA 1, 40000 ČAKOVEC</t>
  </si>
  <si>
    <t>DEPONIRANJE KAMENOG MATERIJALA; GRUPA 1. Deponiranje kamenog materijala – Nadcestarija II, Jelkovečka 4 Sesvete</t>
  </si>
  <si>
    <t>POŠTANSKE USLUGE; GRUPA 2. POŠTANSKE USLUGE U MEĐUNARODNOM PROMETU</t>
  </si>
  <si>
    <t>29.01.2015.</t>
  </si>
  <si>
    <t>29.01.2017.</t>
  </si>
  <si>
    <t>HP D.D., JURIŠIĆEVA 13, 10000 ZAGREB</t>
  </si>
  <si>
    <t>USLUGA UNAPRJEĐIVANJA I ODRŽAVANJA INTERNET PORTALA I CMS SUSTAVA; GRUPA 1. – održavanje i nadogradnja Internet prezentacije za potrebe podružnica i ovisnih društava Zagrebačkog Holdinga d.o.o.</t>
  </si>
  <si>
    <t>GLOBALDIZAJN D.O.O., BUZIN, BANI 75, 10000 ZAGREB</t>
  </si>
  <si>
    <t>POPRAVAK U SUDARU OŠTEĆENIH NISKOPODNIH AUTOBUSA NA POGON STLAČENIM ZEMNIM PLINOM</t>
  </si>
  <si>
    <t>25.08.2015.</t>
  </si>
  <si>
    <t>25.08.2017.</t>
  </si>
  <si>
    <t>AUTOBUS D.O.O., I. RESNIK 178, 10040 ZAGREB</t>
  </si>
  <si>
    <t>NAJAM ŠATORA I OPREME ZA ŠATORE; GRUPA 1 NAJAM ŠATORA</t>
  </si>
  <si>
    <t>22.12.2015.</t>
  </si>
  <si>
    <t>22.12.2017.</t>
  </si>
  <si>
    <t>KUDUMIJA TRADE D.O.O., ULICA KRSTE FRANKOPANA 7, 43000 BJELOVAR</t>
  </si>
  <si>
    <t>REZERVNI DIJELOVI ZA SKRETNIČKI PREKLOPNI UREĐAJ "CONTEC"</t>
  </si>
  <si>
    <t>17.12.2015.</t>
  </si>
  <si>
    <t>17.12.2017.</t>
  </si>
  <si>
    <t>VOESTALPINE VAE GMBH, ROTENTURMSTR. 5-9, A-1010 VIENNA</t>
  </si>
  <si>
    <t>DEPONIRANJE KAMENOG MATERIJALA ZA NADCESTARIJU IV</t>
  </si>
  <si>
    <t>01.12.2015.</t>
  </si>
  <si>
    <t>01.12.2017.</t>
  </si>
  <si>
    <t>PRESADNICE; GRUPA 1. Presadnice jednogodišnjeg bilja i sjeme jednogodišnjeg bilja</t>
  </si>
  <si>
    <t>11.12.2015.</t>
  </si>
  <si>
    <t>11.12.2017.</t>
  </si>
  <si>
    <t>REZERVNI DIJELOVI STROJEVA MARKE BITELLI</t>
  </si>
  <si>
    <t>SADNICE; GRUPA 1. Sadnice ruža</t>
  </si>
  <si>
    <t>28.12.2015.</t>
  </si>
  <si>
    <t>28.12.2017.</t>
  </si>
  <si>
    <t>REZERVNI DIJELOVI I POPRAVAK ZA DROBILICE KAMENA MFL RCI</t>
  </si>
  <si>
    <t>31.12.2015.</t>
  </si>
  <si>
    <t>31.12.2017.</t>
  </si>
  <si>
    <t>REZERVNI DIJELOVI ZA DROBILICE KAMENA NORDBERG</t>
  </si>
  <si>
    <t>POPRAVAK I SERVIS KREMACIJSKIH PEĆI</t>
  </si>
  <si>
    <t>16.07.2015.</t>
  </si>
  <si>
    <t>16.07.2017.</t>
  </si>
  <si>
    <t>HIDROTERM-SD D.O.O., REMETINEČKA CESTA 102C, 10020 ZAGREB-NOVI ZAGREB</t>
  </si>
  <si>
    <t>REZERVNI DIJELOVI I POPRAVAK STROJEVA MARKE WILLIBALD</t>
  </si>
  <si>
    <t>GRADATIN D.O.O., LIVADARSKI PUT 19, 10360 SESVETE</t>
  </si>
  <si>
    <t>BETONSKA GALANTERIJA; GRUPA 1 BETONSKA GALANTERIJA</t>
  </si>
  <si>
    <t>BETONARA "FUČKAN", BLAŽEVDOL, FUČKANI 5, 10380 SV. IVAN ZELINA</t>
  </si>
  <si>
    <t>BETON-LUČKO RBG D.O.O., PUŠKARIĆEVA 1B, 10250 LUČKO</t>
  </si>
  <si>
    <t>CESTOGRAĐEVNI BITUMEN (50/70)</t>
  </si>
  <si>
    <t>03.09.2015.</t>
  </si>
  <si>
    <t>03.09.2017.</t>
  </si>
  <si>
    <t>RIJEKATANK D. O. O., BARTOLA KAŠIĆA, 51000 RIJEKA</t>
  </si>
  <si>
    <t>INA D.D., AVENIJA VEĆESLAVA HOLJEVCA 10, 10000 ZAGREB</t>
  </si>
  <si>
    <t>REZERVNI DIJELOVI I POPRAVAK DISPLEJA ZA INFORMIRANJE PUTNIKA; GRUPA 1. REZERVNI DIJELOVI I POPRAVAK DISPLEJA ZA INFORMIRANJE PUTNIKA PROIZVOĐAČA TEO BELIŠĆE</t>
  </si>
  <si>
    <t>04.08.2015.</t>
  </si>
  <si>
    <t>04.08.2017.</t>
  </si>
  <si>
    <t>TEO-BELIŠĆE, RADNIČKA 3, 31551 BELIŠĆE</t>
  </si>
  <si>
    <t>GRADSKO STAMBENO KOMUNALNO GOSPODARSTVO D.O.O., VODOOPSKRBA I ODVODNJA D.O.O.</t>
  </si>
  <si>
    <t>ODRŽAVANJE I NADOGRADNJA APLIKACIJA IZ SUSTAVA POSLOVNIH INFORMACIJA I KOMUNALNIH INFORMACIJSKIH SUSTAVA SPI/KOMIS</t>
  </si>
  <si>
    <t>LIBUSOFT CICOM, REMETINEČKA CESTA 7a, 10000 ZAGREB</t>
  </si>
  <si>
    <t>IZRADA PROJEKTNE DOKUMENTACIJE ZA SANACIJE I REKONSTRUKCIJE POSTOJEĆIH VODOOPSKRBNIH CJEVOVODA</t>
  </si>
  <si>
    <t>07.10.2015.</t>
  </si>
  <si>
    <t>07.10.2017.</t>
  </si>
  <si>
    <t>HIDRO-A D.O.O., VRLIČKA 24, 10000 ZAGREB</t>
  </si>
  <si>
    <t>HIDROEKO D.O.O., STARJAK 52, 10257 BREZOVICA</t>
  </si>
  <si>
    <t>APZ HIDRIA D.O.O., ZAGREBAČKA 233, 10000 ZAGREB</t>
  </si>
  <si>
    <t>PROJEKTNI BIRO NAGLIĆ D.O.O., OLIBSKA 17, 10000 ZAGREB</t>
  </si>
  <si>
    <t>REZERVNI DIJELOVI ZA SAKUPLJAČE TRAVE SMITCHO</t>
  </si>
  <si>
    <t>30.07.2015.</t>
  </si>
  <si>
    <t>30.07.2017.</t>
  </si>
  <si>
    <t>UZORKOVANJE I KEMIJSKE ANALIZE PODZEMNIH VODA NA ODLAGALIŠTU OTPADA PRUDINEC/JAKUŠEVEC; 1 UZORKOVANJE I KEMIJSKE ANALIZE PODZEMNE VODE NA PIEZOMETRIMA</t>
  </si>
  <si>
    <t>27.08.2015.</t>
  </si>
  <si>
    <t>27.08.2017.</t>
  </si>
  <si>
    <t>NASTAVNI ZAVOD ZA JAVNO ZDRAVSTVO DR. ANDRIJA ŠTAMPAR, MIROGOJSKA CESTA 16, 10000 ZAGREB</t>
  </si>
  <si>
    <t>AGM D.O.O., VODOOPSKRBA I ODVODNJA D.O.O.</t>
  </si>
  <si>
    <t>ODRŽAVANJE I POPRAVAK SUSTAVA ZA GRIJANJE I TOPLU VODU; 1 ODRŽAVANJE I POPRAVAK PLINSKIH BOJLERA</t>
  </si>
  <si>
    <t>31.08.2015.</t>
  </si>
  <si>
    <t>31.08.2017.</t>
  </si>
  <si>
    <t>DELTRON D.O.O., VUKOVARSKA 148, 21000 SPLIT</t>
  </si>
  <si>
    <t>OBRT ZA SERVIS PLAMENIKA I ELEKTRONIKE "PERKOVIĆ", VL. NEVEN PERKOVIĆ, STUBIČKA 188, 10298 JABLANOVEC</t>
  </si>
  <si>
    <t>PAMAJO D.O.O., VRANIČKA 7/A, 10000 ZAGREB</t>
  </si>
  <si>
    <t>REZERVNI DIJELOVI, POPRAVAK I ODRŽAVANJE POSTROJENJA ZA PROIZVODNJU I RECIKLAŽU ASFALTNIH MJEŠAVINA PROIZVOĐAČA BENNINGHOVEN</t>
  </si>
  <si>
    <t>RO-TEHNOLOGIJA D.O.O., NOVA CESTA 86, 51410 OPATIJA</t>
  </si>
  <si>
    <t>ICT KOMPONENTE</t>
  </si>
  <si>
    <t>08.09.2015.</t>
  </si>
  <si>
    <t>08.09.2017.</t>
  </si>
  <si>
    <t>KING ICT D.O.O., BUZINSKI PRILAZ 10, 10010 ZAGREB</t>
  </si>
  <si>
    <t>ODRŽAVANJE I POPRAVAK FONTANA</t>
  </si>
  <si>
    <t>04.09.2015.</t>
  </si>
  <si>
    <t>04.09.2017.</t>
  </si>
  <si>
    <t>BAZENI - FONTANE,  VL. EDIN KAHRIMANOVIĆ, STJEPANA LACKA 32B, 10040 ZAGREB-DUBRAVA</t>
  </si>
  <si>
    <t>RUČNI NEELEKTRIČNI ALATI</t>
  </si>
  <si>
    <t>18.08.2015.</t>
  </si>
  <si>
    <t>18.08.2017.</t>
  </si>
  <si>
    <t>COMET D.O.O., VARAŽDINSKA 40/C, 42220 NOVI MAROF</t>
  </si>
  <si>
    <t>POSTAVA ANTITRAUMATSKIH PODLOGA</t>
  </si>
  <si>
    <t>12.10.2015.</t>
  </si>
  <si>
    <t>12.10.2017.</t>
  </si>
  <si>
    <t>LIPA L.P. D.O.O., BANSKI VINOGRADI 28/A, 10000 ZAGREB</t>
  </si>
  <si>
    <t>DIJELOVI MEHANIČKOG POGONA TRAMVAJA; GRUPA 1 ZUPČANICI ZA TRAMVAJE</t>
  </si>
  <si>
    <t>22.09.2015.</t>
  </si>
  <si>
    <t>22.09.2017.</t>
  </si>
  <si>
    <t>ČIŠĆENJE SEPARATORA</t>
  </si>
  <si>
    <t>AEKS D.O.O., OMLADINSKA 45, 10310 IVANIĆ-GRAD</t>
  </si>
  <si>
    <t>MC ČIŠĆENJE D.O.O., NIKOLE TESLE 17, 44000 SISAK</t>
  </si>
  <si>
    <t>DEZINFEKCIJA I KEMIJSKO ČIŠĆENJE KLIMA, VENTILACIJSKIH SUSTAVA I KUHINJSKIH UREĐAJA UZ KONTROLU MIKROBIOLOŠKE ČISTOĆE ZRAKA</t>
  </si>
  <si>
    <t>28.09.2015.</t>
  </si>
  <si>
    <t>28.09.2017.</t>
  </si>
  <si>
    <t>K.G.V.H. EKO D.O.O., ULICA DR. LUJE NALETILIĆA 10, 10000 ZAGREB</t>
  </si>
  <si>
    <t>ID EKO D.O.O., POREČKA 11, 10000 ZAGREB</t>
  </si>
  <si>
    <t>JEDNOKRATNI TEPISI ZA SAJAMSKE POTREBE</t>
  </si>
  <si>
    <t>SAGOVI ZAGREB D.O.O., TORBAROVA 8, 10000 ZAGREB</t>
  </si>
  <si>
    <t>IZRADA I ODRŽAVANJE PRIVREMENIH ELEKTROINSTALACIJA ZA SAJMOVE, MANIFESTACIJE I BLAGDANE</t>
  </si>
  <si>
    <t>FEST D.O.O., MALA ŠVARČA 155, 47000 KARLOVAC</t>
  </si>
  <si>
    <t>ELICOM D.O.O., ŠTEFANOVEC 138, 10000 ZAGREB</t>
  </si>
  <si>
    <t>POPRAVAK KATODNE ZAŠTITE</t>
  </si>
  <si>
    <t>13.08.2015.</t>
  </si>
  <si>
    <t>13.08.2017.</t>
  </si>
  <si>
    <t>PA-EL D.O.O., DUBROVČAN 33B, 49214 VELIKO TRGOVIŠĆE</t>
  </si>
  <si>
    <t>ODŠTOPAVANJE I ČIŠĆENJE KANALA, SLIVNIKA I SKRETNICA; GRUPA 1 ODŠTOPAVANJE I ČIŠĆENJE KANALA I SLIVNIKA</t>
  </si>
  <si>
    <t>14.10.2015.</t>
  </si>
  <si>
    <t>14.10.2017.</t>
  </si>
  <si>
    <t>BRAUCO D.O.O., ZAGREBAČKA CESTA 145C, 10000 ZAGREB</t>
  </si>
  <si>
    <t>ELEKTRIČNI DIJELOVI TRAMVAJA</t>
  </si>
  <si>
    <t>ODRŽAVANJE I NADOGRADNJA PROGRAMSKE I STROJNE OPREME INFORMACIJSKIH SUSTAVA FORTRESS I ANURPP</t>
  </si>
  <si>
    <t>ECCOS-INŽENJERING D.O.O., I. PILE 21, 10000 ZAGREB</t>
  </si>
  <si>
    <t>SOL ZA POSIPANJE CESTA</t>
  </si>
  <si>
    <t>16.10.2015.</t>
  </si>
  <si>
    <t>16.10.2017.</t>
  </si>
  <si>
    <t>D-INTER D.O.O., OBOJ 5, 10000 ZAGREB</t>
  </si>
  <si>
    <t>MA.CO.T. D.O.O., INDUSTRIJSKA ZONA R-29, KUKULJANOVO bb, 51227 KUKULJANOVO</t>
  </si>
  <si>
    <t>SOLANA PAG D.D., SVILNO bb, 23250 PAG</t>
  </si>
  <si>
    <t>PAG 91 D.O.O., VELA ULICA 14, 23250 PAG</t>
  </si>
  <si>
    <t>UREĐENJE I HORTIKULTURALNI RADOVI NA OBJEKTIMA VODOOPSKRBE I ODVODNJE</t>
  </si>
  <si>
    <t>BINĐO D.O.O., MAJDEKOVA 17, 10310 IVANIĆ-GRAD</t>
  </si>
  <si>
    <t>RUČNI ALATI ZA POLJOPRIVREDU I HORTIKULTURU; GRUPA 1. Ručni alati za poljoprivredu i hortikulturu</t>
  </si>
  <si>
    <t>POLJOOPSKRBA-TEHNO D.D., SAMOBORSKA 96, 10000 ZAGREB</t>
  </si>
  <si>
    <t>MIAGRA D.O.O., IV POŽARINJE 18, 10000 ZAGREB</t>
  </si>
  <si>
    <t>CERADNA PLATNA I PRIBOR</t>
  </si>
  <si>
    <t>REZERVNI DIJELOVI I SERVIS STROJEVA MARKE CATERPILLAR</t>
  </si>
  <si>
    <t>TEKNOXGROUP HRVATSKA D.O.O., RADNIČKA CESTA 218, 10000 ZAGREB</t>
  </si>
  <si>
    <t>REZERVNI DIJELOVI ZA VOZILA MARKE MERCEDES - TERETNI PROGRAM; GRUPA 1. Rezervni dijelovi prijenosnog sustava za vozila marke MERCEDES</t>
  </si>
  <si>
    <t>12.08.2015.</t>
  </si>
  <si>
    <t>BETON - PLASTIČNI I PUMPANI</t>
  </si>
  <si>
    <t>10.08.2015.</t>
  </si>
  <si>
    <t>10.08.2017.</t>
  </si>
  <si>
    <t>RESNIK-BETON D.O.O., LJUDEVITA POSAVSKOG 31, 10360 SESVETE</t>
  </si>
  <si>
    <t>ZAVARIVANJE TRAMVAJSKIH TRAČNICA</t>
  </si>
  <si>
    <t>TREA TRADE D.O.O., BLAŽIĆI 2A, 51216 VIŠKOVO</t>
  </si>
  <si>
    <t>ODRŽAVANJE I NADOGRADNJA INFORMACIJSKIH SUSTAVA PARKIS I PAUKIS</t>
  </si>
  <si>
    <t>HT D.D., ROBERTA FRANGEŠA MIHANOVIĆA 9, 10000 ZAGREB</t>
  </si>
  <si>
    <t>POPRAVAK I REDOVNO ODRŽAVANJE DIZALA; GRUPA 2 POPRAVAK I REDOVNO ODRŽAVANJE  DIZALA KONE MONO  SPACE I KONE ECO SPACE</t>
  </si>
  <si>
    <t>LIFT MODUS D.O.O., ZAGREBAČKA CESTA 145A/III, 10000 ZAGREB</t>
  </si>
  <si>
    <t>REZERVNI DIJELOVI KOČIONIH INSTALACIJA PROIZVOĐAČA WABCO, KNORR, BOSCH, HALDEX I TEMPLIN; GRUPA 1 REZERVNI DIJELOVI KOČIONIH INSTALACIJA PROIZVOĐAČA WABCO</t>
  </si>
  <si>
    <t>31.07.2015.</t>
  </si>
  <si>
    <t>31.07.2017.</t>
  </si>
  <si>
    <t>MIKRA MATIK AUTODIJELOVI D.O.O., ZAGREBAČKA CESTA 162/B, 10360 SESVETE</t>
  </si>
  <si>
    <t>HIDROPNEUMAT D.O.O., TRNOVEC B., LUDBREŠKA 80, 42202 TRNOVEC BARTOLOVEČKI</t>
  </si>
  <si>
    <t>REZERVNI DIJELOVI AGREGATA MARKE ZF</t>
  </si>
  <si>
    <t>HIDROMEHANIKA D.O.O., SLAVONSKA AVENIJA 26/10, 10000 ZAGREB</t>
  </si>
  <si>
    <t>POPRAVAK ELEKTROMOTORA PROIZVOĐAČA PLEUGER</t>
  </si>
  <si>
    <t>BERGER, VL. ROBERT BERGER, ŠTEFA KUZMIĆA 13, 10373 IVANJA REKA</t>
  </si>
  <si>
    <t>REZERVNI DIJELOVI I POPRAVAK RADNIH STROJEVA MARKE BOBCAT</t>
  </si>
  <si>
    <t>POVREMENI NAJAM TRAKTORA S RUKOM I PRIKLJUČCIMA ZA KOŠNJU TRAVE, ŠIBLJA I GRANA DRVEĆA</t>
  </si>
  <si>
    <t>GRAĐEVINSKI MATERIJALI</t>
  </si>
  <si>
    <t>18.11.2015.</t>
  </si>
  <si>
    <t>18.11.2017.</t>
  </si>
  <si>
    <t>ODRŽAVANJE I NADOGRADNJA PROGRAMSKOG SUSTAVA IMPERIOS</t>
  </si>
  <si>
    <t>REZERVNI DIJELOVI ZA VOZILA MARKE MAN - TERETNI PROGRAM; GRUPA 1 Rezervni dijelovi prijenosnog sustava za vozila marke MAN</t>
  </si>
  <si>
    <t>ODRŽAVANJE I NADOGRADNJA APLIKACIJA INFOART</t>
  </si>
  <si>
    <t>INFOART D.O.O., LASTOVSKA 23, 10000 ZAGREB</t>
  </si>
  <si>
    <t>ELEKTROMATERIJAL</t>
  </si>
  <si>
    <t>SREBRA SYSTEM D.O.O., ŠTEFANOVEČKA 70, 10000 ZAGREB</t>
  </si>
  <si>
    <t>WELLMAX D.O.O., VINKOVAČKA 21, 21000 SPLIT</t>
  </si>
  <si>
    <t>POVREMENI NAJAM ROVOKOPAČA - UTOVARIVAČA (KOMBINIRKA)</t>
  </si>
  <si>
    <t>AGM D.O.O., GRADSKA PLINARA ZAGREB D.O.O., GRADSKA PLINARA ZAGREB OPSKRBA D.O.O., GRADSKO STAMBENO KOMUNALNO GOSPODARSTVO D.O.O., VODOOPSKRBA I ODVODNJA D.O.O., ZAGREB ARENA D.O.O., ZAGREB PLAKAT D.O.O., ZAGREBAČKA STANOGRADNJA D.O.O., ZAGREBAČKI HOLDING D.O.O.</t>
  </si>
  <si>
    <t>REVIZIJA GODIŠNJIH I KONSOLIDIRANIH GODIŠNJIH FINANCIJSKIH IZVJEŠĆA</t>
  </si>
  <si>
    <t>24.09.2015.</t>
  </si>
  <si>
    <t>24.09.2017.</t>
  </si>
  <si>
    <t>BDO Croatia d.o.o., TRG JOHN FITZGERALD KENNEDY 6B, 10000 ZAGREB</t>
  </si>
  <si>
    <t>UTOVAR, ISTOVAR I PRIJEVOZ KOLOSIJEČNOG MATERIJALA</t>
  </si>
  <si>
    <t>MAXIMA USLUGE D.O.O., SAMOBORSKA 222, 10000 ZAGREB</t>
  </si>
  <si>
    <t>ZAKUP MEDIJSKOG PROSTORA NA REKLAMNIM PANOIMA</t>
  </si>
  <si>
    <t>ZAGREB PLAKAT D.O.O., KOTURAŠKA 51, 10000 ZAGREB</t>
  </si>
  <si>
    <t>GRADSKA PLINARA ZAGREB D.O.O., VODOOPSKRBA I ODVODNJA D.O.O., ZAGREBAČKI HOLDING D.O.O.</t>
  </si>
  <si>
    <t>DNEVNO I PERIODIČNO ČIŠĆENJE I PRANJE POSLOVNIH PROSTORA PODRUŽNICA ZAGREBAČKE CESTE I ZAGREBAČKI DIGITALNI GRAD I OVISNIH DRUŠTAVA VODOOPSKRBA I ODVODNJA D.O.O. I GRADSKA PLINARA ZAGREB D.O.O.</t>
  </si>
  <si>
    <t>07.08.2016.</t>
  </si>
  <si>
    <t>HARMONIJA USLUGE D.O.O., SAMOBORSKA CESTA 266, 10090 ZAGREB</t>
  </si>
  <si>
    <t>ATALIAN GLOBAL SERVICES CROATIA D.O.O., HONDLOVA 2, 10000 ZAGREB</t>
  </si>
  <si>
    <t>PLETER-USLUGE D.O.O., ČERININA 23, 10000 ZAGREB</t>
  </si>
  <si>
    <t>AKUMULATORI I PRIBOR; GRUPA 1. Akumulatori</t>
  </si>
  <si>
    <t>MUNJA D.D., KOLEDOVČINA 3, 10000 ZAGREB</t>
  </si>
  <si>
    <t>SIN-TRADE D.O.O., RESNIČKA 21, 10000 ZAGREB</t>
  </si>
  <si>
    <t>TOP START D.O.O., RIBNJAK 5, 10000 ZAGREB</t>
  </si>
  <si>
    <t>REZERVNI DIJELOVI I POPRAVAK UREĐAJA ZA UKLJUČIVANJE GRIJAČA SKRETNICE</t>
  </si>
  <si>
    <t>SREDSTVA ZA ODMAŠĆIVANJE, ČIŠĆENJE, ANTIKOROZIVNU ZAŠTITU I SKIDANJE PREMAZA; GRUPA 1. Sredstva za odmašćivanje, čišćenje, antikorozivnu zaštitu, skidanje grafita, guma za žvakanje i premaza</t>
  </si>
  <si>
    <t>AM ADRIA AUTODIJELOVI D.O.O., BAŠTIJANOVA 2A, 10000 ZAGREB</t>
  </si>
  <si>
    <t>IZMJENA VODOMJERA NA ADRESAMA KORISNIKA VODNIH USLUGA</t>
  </si>
  <si>
    <t>14.07.2015.</t>
  </si>
  <si>
    <t>14.07.2017.</t>
  </si>
  <si>
    <t>KINDER GRADNJA OBRT ZA USLUGE, VL. IVICA KINDER, SELSKA 57, 10360 SESVETE</t>
  </si>
  <si>
    <t>POPRAVAK I REZERVNI DIJELOVI HIDRAULIKE - SKLOPOVI SPECIJALNIH VOZILA</t>
  </si>
  <si>
    <t>HIDRAULIKA KURELJA D.O.O., MATENAČKA CESTA 41, 49290 DONJA STUBICA</t>
  </si>
  <si>
    <t>REZERVNI DIJELOVI I POPRAVAK STROJEVA I PRIKLJUČNIH ALATA PROIZVOĐAČA RASCO</t>
  </si>
  <si>
    <t>RASCO D.O.O., KOLODVORSKA 120B, 48361 KALINOVAC</t>
  </si>
  <si>
    <t>PRESADNICE; GRUPA 2. Presadnice dvogodišnjeg bilja</t>
  </si>
  <si>
    <t>SADNICE; GRUPA 2. Sadnice voćki</t>
  </si>
  <si>
    <t>FRAGARIA PLANTA D.O.O., KUPINEČKI KRALJEVEC, MRAKOV BREG 3, 10000 ZAGREB</t>
  </si>
  <si>
    <t>REZERVNI DIJELOVI I POPRAVAK DISPLEJA ZA INFORMIRANJE PUTNIKA; GRUPA 2. REZERVNI DIJELOVI I POPRAVAK DISPLEJA ZA INFORMIRANJE PUTNIKA PROIZVOĐAČA GORBA AG</t>
  </si>
  <si>
    <t>ATRON ELECTRONIC GMBH, PODRUŽNICA ZAGREB, CRESKA 20, 10110 ZAGREB</t>
  </si>
  <si>
    <t>UZORKOVANJE I KEMIJSKE ANALIZE PODZEMNIH VODA NA ODLAGALIŠTU OTPADA PRUDINEC/JAKUŠEVEC; 2 UZORKOVANJE I KEMIJSKE ANALIZE PODZEMNE VODE NA ZDENCIMA INTERVENTNOG CRPNOG SUSTAVA</t>
  </si>
  <si>
    <t>REZERVNI DIJELOVI ZA VOZILA MARKE MERCEDES - TERETNI PROGRAM; GRUPA 2. Rezervni dijelovi kočnog sustava za vozila marke MERCEDES</t>
  </si>
  <si>
    <t>REZERVNI DIJELOVI ZA VOZILA MARKE MAN - TERETNI PROGRAM; GRUPA 2 Rezervni dijelovi kočnog sustava za vozila marke MAN</t>
  </si>
  <si>
    <t>REZERVNI DIJELOVI ZA VOZILA MARKE MERCEDES - AUTOBUSNI PROGRAM; GRUPA 2 DIJELOVI UPRAVLJAČKOG  SUSTAVA</t>
  </si>
  <si>
    <t>OSOBNA ZAŠTITNA SREDSTVA; GRUPA 6 ZAŠTITA TIJELA</t>
  </si>
  <si>
    <t>REZERVNI DIJELOVI ZA VOZILA MARKE MAN - AUTOBUSNI PROGRAM; GRUPA 7. STAKLA</t>
  </si>
  <si>
    <t>PRIJEVOZ ASFALTNE MASE I OSTALOG RASUTOG MATERIJALA; GRUPA 2. Teretna vozila minimalne nosivosti 13 t</t>
  </si>
  <si>
    <t>ZAMJENSKE SEMAFORSKE LATERNE; GRUPA 2. Zamjenske semaforske laterne marke Zelisco</t>
  </si>
  <si>
    <t>SELEKTA PRIMA D.O.O., I. TRNAVA 49, 10000 ZAGREB</t>
  </si>
  <si>
    <t>REZERVNI DIJELOVI ZA SEMAFORSKE UREĐAJE; GRUPA 4. Rezervni dijelovi za semaforske uređaje ISKRA</t>
  </si>
  <si>
    <t>SEMAFOR D.O.O., ANTE TOPIĆ MIMARE 24, 10000 ZAGREB</t>
  </si>
  <si>
    <t>POŠTANSKE USLUGE: Grupa 1. Poštanske usluge u unutarnjem prometu</t>
  </si>
  <si>
    <t>19.02.2015.</t>
  </si>
  <si>
    <t>19.02.2017.</t>
  </si>
  <si>
    <t>DENDRO BILJE; GRUPA 2. Drveće crnogorica</t>
  </si>
  <si>
    <t>VODOVODNA I KANALSKA ARMATURA; GRUPA 3. Komplet sa okvirom</t>
  </si>
  <si>
    <t>VODOPROMET D.O.O., VALTURSKO POLJE 212, 52204 LIŽNJAN</t>
  </si>
  <si>
    <t>VODOTEHNIKA D.D., KOTURAŠKA CESTA 49, 10000 ZAGREB</t>
  </si>
  <si>
    <t>UKRASNE POSUDE ZA CVIJEĆE; GRUPA 2. Ukrasne posude za cvijeće od plastike</t>
  </si>
  <si>
    <t>PRESADNICE; GRUPA 3. Presadnice trajnica</t>
  </si>
  <si>
    <t>SADNICE; GRUPA 3. Sadnice cvijeća</t>
  </si>
  <si>
    <t>BETONSKA GALANTERIJA; GRUPA 2 ARMIRANO BETONSKE PLOČE I ELEMENTI ZA TRAMVAJSKE PRUGE</t>
  </si>
  <si>
    <t>BETON-LUČKO  D.O.O., PUŠKARIĆEVA 1B, 10250 LUČKO</t>
  </si>
  <si>
    <t>DIJELOVI MEHANIČKOG POGONA TRAMVAJA; GRUPA 2 DIJELOVI KOČNIKA TRAMVAJA</t>
  </si>
  <si>
    <t>ZVUČNI SIGNALIZATORI ZA SLIJEPE I SLABOVIDNE OSOBE; GRUPA 2 ZVUČNI SIGNALIZATOR ZA SLIJEPE I SLABOVIDNE OSOBE – KAO TIP PRISMA TS903 ILI JEDNAKOVRIJEDNI PROIZVOD</t>
  </si>
  <si>
    <t>REZERVNI DIJELOVI ZA VOZILA MARKE MERCEDES - TERETNI PROGRAM; GRUPA 3. Rezervnih dijelovi upravljačkog sustava, ovjesa i gibnjeva za vozila marke MERCEDES</t>
  </si>
  <si>
    <t>12.08.2017.</t>
  </si>
  <si>
    <t>REZERVNI DIJELOVI ZA VOZILA MARKE MAN - TERETNI PROGRAM; GRUPA 3 Rezervnih dijelovi upravljačkog sustava, ovjesa i gibnjeva za vozila marke MAN</t>
  </si>
  <si>
    <t>REZERVNI DIJELOVI ZA VOZILA MARKE MERCEDES - AUTOBUSNI PROGRAM; GRUPA 3 DIJELOVI MOTORA I RASHLADNOG SUSTAVA</t>
  </si>
  <si>
    <t>OSOBNA ZAŠTITNA SREDSTVA; GRUPA 3 ZAŠTITA GLAVE</t>
  </si>
  <si>
    <t>SIGA PRO D.O.O., MEĐIMURSKA 12, 42000 VARAŽDIN</t>
  </si>
  <si>
    <t>TRGO - LEPTIR D.O.O., RADNIČKA 41, 51000 RIJEKA</t>
  </si>
  <si>
    <t>REZERVNI DIJELOVI ZA VOZILA MARKE MAN - AUTOBUSNI PROGRAM; GRUPA 3. DIJELOVI MOTORA I RASHLADNOG SUSTAVA</t>
  </si>
  <si>
    <t>ZAMJENSKE SEMAFORSKE LATERNE; GRUPA 4. Zamjenske semaforske laterne marke Zir</t>
  </si>
  <si>
    <t>19.05.2015.</t>
  </si>
  <si>
    <t>19.05.2017.</t>
  </si>
  <si>
    <t>REZERVNI DIJELOVI ZA SEMAFORSKE UREĐAJE; GRUPA 2. Rezervni dijelovi za semaforske uređaje EC</t>
  </si>
  <si>
    <t>DENDRO BILJE; GRUPA 3. Mediteransko dendro bilje</t>
  </si>
  <si>
    <t>UKRASNE POSUDE ZA CVIJEĆE; GRUPA 3. Ukrasne posude za cvijeće od metala i drveta</t>
  </si>
  <si>
    <t>PRESADNICE; GRUPA 4. Presadnice ciklama i ruža</t>
  </si>
  <si>
    <t>ODRŽAVANJE I POPRAVAK SUSTAVA ZA GRIJANJE I TOPLU VODU; 2 ODRŽAVANJE I POPRAVAK KOTLOVNICA</t>
  </si>
  <si>
    <t>ODŠTOPAVANJE I ČIŠĆENJE KANALA, SLIVNIKA I SKRETNICA; GRUPA 2 PRANJE SKRETNICA I ODŠTOPAVANJE SLIVNIKA, PRANJE ODVODNIH ORMARIĆA PO GRADU I NA REMIZAMA TREŠNJEVKA I DUBRAVA</t>
  </si>
  <si>
    <t>EKO-FLOR PLUS D.O.O., MOKRICE 180C, 49243 OROSLAVJE</t>
  </si>
  <si>
    <t>RUČNI ALATI ZA POLJOPRIVREDU I HORTIKULTURU; GRUPA 2. Profesionalni ručni alati za poljoprivredu i hortikulturu Fiskars ili jednakovrijedni</t>
  </si>
  <si>
    <t>REZERVNI DIJELOVI ZA VOZILA MARKE MERCEDES - TERETNI PROGRAM; GRUPA 4. Rezervni dijelovi elektro sustava  i klima uređaja za vozila marke MERCEDES</t>
  </si>
  <si>
    <t>REZERVNI DIJELOVI KOČIONIH INSTALACIJA PROIZVOĐAČA WABCO, KNORR, BOSCH, HALDEX I TEMPLIN; GRUPA 2 REZERVNI DIJELOVI KOČIONIH INSTALACIJA PROIZVOĐAČA KNORR</t>
  </si>
  <si>
    <t>CIAK TRUCK D.O.O., ROŽMANKA 17/1, 10250 LUČKO</t>
  </si>
  <si>
    <t>REZERVNI DIJELOVI ZA VOZILA MARKE MAN - TERETNI PROGRAM; GRUPA 4 Rezervni dijelovi električnih i klimatizacijskih sustava za vozila marke MAN</t>
  </si>
  <si>
    <t>SREDSTVA ZA ODMAŠĆIVANJE, ČIŠĆENJE, ANTIKOROZIVNU ZAŠTITU I SKIDANJE PREMAZA; GRUPA 2. Tekučina za rashladne sustave vozila - antifriz</t>
  </si>
  <si>
    <t>INTER CARS D.O.O., KRAPINSKA 37, 10290 ZAPREŠIĆ</t>
  </si>
  <si>
    <t>REZERVNI DIJELOVI ZA VOZILA MARKE MERCEDES - AUTOBUSNI PROGRAM; GRUPA 5 DIJELOVI KLIMA UREĐAJA</t>
  </si>
  <si>
    <t>BAKAR I PROIZVODI OD BAKRA; GRUPA 2 BAKRENI ODLJEVI PREMA PROFILU TRAČNICE</t>
  </si>
  <si>
    <t>DRVENE PLOČE I PANELI; GRUPA 2 DRVENE PLOČE I PANELI</t>
  </si>
  <si>
    <t>REZERVNI DIJELOVI ZA VOZILA MARKE MAN - AUTOBUSNI PROGRAM; GRUPA 5. DIJELOVI KLIMA UREĐAJA</t>
  </si>
  <si>
    <t>ZAMJENSKE SEMAFORSKE LATERNE; GRUPA 3. Zamjenske semaforske laterne marke Peek</t>
  </si>
  <si>
    <t>REZERVNI DIJELOVI ZA SEMAFORSKE UREĐAJE; GRUPA 3. Rezervni dijelovi za semaforske uređaje FAN</t>
  </si>
  <si>
    <t>UKRASNE POSUDE ZA CVIJEĆE; GRUPA 4. Ukrasne posude za cvijeće-balkonske košare i nosači</t>
  </si>
  <si>
    <t>PRESADNICE; GRUPA 5. Presadnice euphorbia i krizantema</t>
  </si>
  <si>
    <t>DIJELOVI MEHANIČKOG POGONA TRAMVAJA; GRUPA 3 KARDANSKA VRATILA I DIJELOVI KARDANA ZA TRAMVAJE</t>
  </si>
  <si>
    <t>16.09.2015.</t>
  </si>
  <si>
    <t>16.09.2017.</t>
  </si>
  <si>
    <t>RUČNI ALATI ZA POLJOPRIVREDU I HORTIKULTURU; GRUPA 3. Profesionalni ručni alati za poljoprivredu i hortikulturu Kuker ili jednakovrijedni</t>
  </si>
  <si>
    <t>ARBORI CULTURA D.O.O., POKUPSKO 86, 10414 POKUPSKO</t>
  </si>
  <si>
    <t>REZERVNI DIJELOVI ZA VOZILA MARKE MERCEDES - TERETNI PROGRAM; GRUPA 5. Rezervni dijelovi motora i rashladnog sustava za vozila marke MERCEDES</t>
  </si>
  <si>
    <t>REZERVNI DIJELOVI ZA VOZILA MARKE MAN - TERETNI PROGRAM; GRUPA 5 Rezervni dijelovi motora i rashladnog sustava za vozila marke MAN</t>
  </si>
  <si>
    <t>REZERVNI DIJELOVI ZA VOZILA MARKE MERCEDES - AUTOBUSNI PROGRAM; GRUPA 6 OSTALI DIJELOVI</t>
  </si>
  <si>
    <t>OSOBNA ZAŠTITNA SREDSTVA; GRUPA 5 ZAŠTITA SLUHA</t>
  </si>
  <si>
    <t>PLEGLAS D.O.O., ŠPANSKO 6, 10000 ZAGREB</t>
  </si>
  <si>
    <t>BAČELIĆ D.O.O., AVENIJA VEĆESLAVA HOLJEVCA 54, 10000 ZAGREB</t>
  </si>
  <si>
    <t>REZERVNI DIJELOVI ZA VOZILA MARKE MAN - AUTOBUSNI PROGRAM; GRUPA 6. OSTALI DIJELOVI</t>
  </si>
  <si>
    <t>VODOVODNA I KANALSKA ARMATURA; GRUPA 1. Zamjenski tip Bjelovar ili jednakovrijedan</t>
  </si>
  <si>
    <t>ODRŽAVANJE I POPRAVAK SUSTAVA ZA GRIJANJE I TOPLU VODU; 3 ODRŽAVANJE I POPRAVAK GRIJAČA ZRAKA</t>
  </si>
  <si>
    <t>DIJELOVI MEHANIČKOG POGONA TRAMVAJA; GRUPA 4 KOTAČI I OSOVINE ZA TRAMVAJE</t>
  </si>
  <si>
    <t>ZVUČNI SIGNALIZATORI ZA SLIJEPE I SLABOVIDNE OSOBE; GRUPA 3 PJEŠAČKA NAJAVNA TIPKALA</t>
  </si>
  <si>
    <t>REZERVNI DIJELOVI ZA VOZILA MARKE MERCEDES - TERETNI PROGRAM; GRUPA 6. Rezervni dijelovi karoserije, stakla kabina i retrovizora za vozila marke MERCEDES</t>
  </si>
  <si>
    <t>14.08.2015.</t>
  </si>
  <si>
    <t>14.08.2017.</t>
  </si>
  <si>
    <t>REZERVNI DIJELOVI ZA VOZILA MARKE MAN - TERETNI PROGRAM; GRUPA 6 Rezervni dijelovi karoserije, stakla kabina i retrovizora za vozila marke MAN</t>
  </si>
  <si>
    <t>AKUMULATORI I PRIBOR; GRUPA 2. Punjači akumulatora</t>
  </si>
  <si>
    <t>LOKO OPREMA D.O.O., ZAHAROVA 9, 10000 ZAGREB</t>
  </si>
  <si>
    <t>REZERVNI DIJELOVI ZA VOZILA MARKE MERCEDES - AUTOBUSNI PROGRAM; GRUPA 7 STAKLA</t>
  </si>
  <si>
    <t>MB-ZAGREB D.O.O., NOVSKA 30, 10000 ZAGREB</t>
  </si>
  <si>
    <t>REZERVNI DIJELOVI ZA VOZILA MARKE MAN - AUTOBUSNI PROGRAM; GRUPA 8. ELEKTROMATERIJAL</t>
  </si>
  <si>
    <t>RUČNI ALATI ZA POLJOPRIVREDU I HORTIKULTURU; GRUPA 4. Profesionalni ručni alati za poljoprivredu i hortikulturu Gardena ili jednakovrijedni</t>
  </si>
  <si>
    <t>REZERVNI DIJELOVI ZA VOZILA MARKE MERCEDES - TERETNI PROGRAM; GRUPA 7. Ostali rezervni dijelovi za vozila marke MERCEDES</t>
  </si>
  <si>
    <t>REZERVNI DIJELOVI KOČIONIH INSTALACIJA PROIZVOĐAČA WABCO, KNORR, BOSCH, HALDEX I TEMPLIN; GRUPA 3 REZERVNI DIJELOVI KOČIONIH INSTALACIJA - OSTALI PROIZVOĐAČI (BOSCH, HALDEX, TEMPLIN)</t>
  </si>
  <si>
    <t>REZERVNI DIJELOVI ZA VOZILA MARKE MAN - TERETNI PROGRAM; GRUPA 7 Ostali rezervni dijelovi za vozila marke MAN</t>
  </si>
  <si>
    <t>SREDSTVA ZA ODMAŠĆIVANJE, ČIŠĆENJE, ANTIKOROZIVNU ZAŠTITU I SKIDANJE PREMAZA; GRUPA 3. Sredstva za čišćenje i skidanje kamenca u visokotlačnim aparatima proizvođača Karcher i Wap</t>
  </si>
  <si>
    <t>REZERVNI DIJELOVI ZA VOZILA MARKE MERCEDES - AUTOBUSNI PROGRAM; GRUPA 8 ELEKTROMATERIJAL</t>
  </si>
  <si>
    <t>REZERVNI DIJELOVI ZA VOZILA MARKE MAN - AUTOBUSNI PROGRAM; GRUPA 1. DIJELOVI KOČIONOG SUSTAVA</t>
  </si>
  <si>
    <t>ODRŽAVANJE I POPRAVAK SUSTAVA ZA GRIJANJE I TOPLU VODU; 4 ODRŽAVANJE I POPRAVAK IZMJENJIVAČA TOPLINE</t>
  </si>
  <si>
    <t>REZERVNI DIJELOVI ZA VOZILA MARKE MERCEDES - AUTOBUSNI PROGRAM; GRUPA 4 DIJELOVI KAROSERIJE</t>
  </si>
  <si>
    <t>25.09.2015.</t>
  </si>
  <si>
    <t>25.09.2017.</t>
  </si>
  <si>
    <t>OSOBNA ZAŠTITNA SREDSTVA; GRUPA 7 ZAŠTITA OČIJU I LICA</t>
  </si>
  <si>
    <t>KOM-TRADE D.O.O., ZDENCI BRDOVEČKI, ZDENAČKA 90, 10291 PRIGORJE BRDOVEČKO</t>
  </si>
  <si>
    <t>REZERVNI DIJELOVI ZA VOZILA MARKE MAN - AUTOBUSNI PROGRAM; GRUPA 2. DIJELOVI UPRAVLJAČKOG  SUSTAVA</t>
  </si>
  <si>
    <t>RUČNI ALATI ZA POLJOPRIVREDU I HORTIKULTURU; GRUPA 5. Profesionalni ručni alati za poljoprivredu i hortikulturu Wolf ili jednakovrijedni</t>
  </si>
  <si>
    <t>AKUMULATORI I PRIBOR; GRUPA 3. Akumulatorske NiCD baterije za tramvaje</t>
  </si>
  <si>
    <t>KONČAR - INEM D.D., FALLEROVO ŠETALIŠTE 22, 10000 ZAGREB</t>
  </si>
  <si>
    <t>OSOBNA ZAŠTITNA SREDSTVA; GRUPA 8 ZAŠTITA NA VISINI</t>
  </si>
  <si>
    <t>OSOBNA ZAŠTITNA SREDSTVA; GRUPA 2 ZAŠTITA RUKU</t>
  </si>
  <si>
    <t>AKUMULATORI I PRIBOR; GRUPA 4. Akumulatorske baterije za elektrovozila</t>
  </si>
  <si>
    <t>OSOBNA ZAŠTITNA SREDSTVA; GRUPA 9: VISOKA VIDLJIVOST</t>
  </si>
  <si>
    <t>OSOBNA ZAŠTITNA SREDSTVA; GRUPA 4 ZAŠTITA DIŠNIH PUTEVA</t>
  </si>
  <si>
    <t>05.10.2015.</t>
  </si>
  <si>
    <t>05.10.2017.</t>
  </si>
  <si>
    <t>DRÄGER SAFETY D.O.O., FROUDEOVA 13, 10000 ZAGREB</t>
  </si>
  <si>
    <t>Ugovor na temelju okvirnog sporazuma</t>
  </si>
  <si>
    <t>Održavanje informacijskog poslovnog sustava aplikacija "Laus-Argosy" do 28.02.2015</t>
  </si>
  <si>
    <t>11.02.2015.</t>
  </si>
  <si>
    <t>28.02.2015.</t>
  </si>
  <si>
    <t>ELEKTRODE I ŽICE ZA ZAVARIVANJE za razdoblje do 30.06.2015.</t>
  </si>
  <si>
    <t>09.01.2015.</t>
  </si>
  <si>
    <t>30.06.2015.</t>
  </si>
  <si>
    <t>Minimalno odstupanje pri vaganju količine.</t>
  </si>
  <si>
    <t>Odstupanje zbog tvorničkih dimenzija robe.</t>
  </si>
  <si>
    <t>Pakiranje dobavljača je veće od naručenih količina.</t>
  </si>
  <si>
    <t>NAFTNI DERIVATI; GRUPA 2. EURODIZEL BS - isporuka pumpna stanica ponuditelja na području grada Velike Gorice za razdoblje do 30.04.2015.</t>
  </si>
  <si>
    <t>13.01.2015.</t>
  </si>
  <si>
    <t>NAFTNI DERIVATI; GRUPA 1. NAFTNI DERIVATI za razdoblje do 30.04.2015. godine</t>
  </si>
  <si>
    <t>14.01.2015.</t>
  </si>
  <si>
    <t>CRODUX DERIVATI DVA D.O.O., JOSIPA MAROHNIĆA 1, 10000 ZAGREB</t>
  </si>
  <si>
    <t>NAFTNI DERIVATI; GRUPA 1. NAFTNI DERIVATI za GSKG d.o.o. za razdoblje do 30.04.2015</t>
  </si>
  <si>
    <t>15.01.2015.</t>
  </si>
  <si>
    <t>AGM D.O.O.</t>
  </si>
  <si>
    <t>NAFTNI DERIVATI; GRUPA 1. NAFTNI DERIVATI za AGM d.o.o. za razdoblje do 30.04.2015.</t>
  </si>
  <si>
    <t>RAZNI UREDSKI POTROŠNI MATERIJAL za razdoblje do 30.04.2015. za podružnicu ZET</t>
  </si>
  <si>
    <t>02.01.2015.</t>
  </si>
  <si>
    <t>NARODNE NOVINE D.D., SAVSKI GAJ XIII. PUT 6, 10000 ZAGREB</t>
  </si>
  <si>
    <t>METLE BREZOVE  za VIO d.o.o. za razdoblje do 31.03.2015</t>
  </si>
  <si>
    <t>05.01.2015.</t>
  </si>
  <si>
    <t>31.03.2015.</t>
  </si>
  <si>
    <t>ADELA D.O.O., GROFA JANKA DRAŠKOVIĆA 11, 53000 GOSPIĆ</t>
  </si>
  <si>
    <t>SREDSTVO ZA SMANJENJE EMISIJE ISPUŠNIH PLINOVA za razdoblje do 30.11.2015.</t>
  </si>
  <si>
    <t>30.11.2015.</t>
  </si>
  <si>
    <t>ULJA I MAZIVA za podružnicu Zagrebačke ceste za razdoblje do 31.03.2015. godine</t>
  </si>
  <si>
    <t>16.01.2015.</t>
  </si>
  <si>
    <t>NAFTNI DERIVATI; GRUPA 1. NAFTNI DERIVATI za GRADSKU PLINARU ZAGREB - OPSKRBA d.o.o. za razdoblje do 30.04.2015</t>
  </si>
  <si>
    <t>NAFTNI DERIVATI; Grupa 1: NAFTNI DERIVATI za VIO d.o.o. za razdoblje do 30.04.2015.</t>
  </si>
  <si>
    <t>19.01.2015.</t>
  </si>
  <si>
    <t>SREDSTVA ZA ODMAŠĆIVANJE, ČIŠĆENJE, ANTIKOROZIVNU ZAŠTITU I SKIDANJE PREMAZA; GRUPA 2. ANTIFRIZ za razdoblje do 01.05.2015.</t>
  </si>
  <si>
    <t>23.01.2015.</t>
  </si>
  <si>
    <t>01.05.2015.</t>
  </si>
  <si>
    <t>ORMARIĆI INFRASTRUKTURE ENERGETIKE za razdoblje do 30.04.2015.</t>
  </si>
  <si>
    <t>06.02.2015.</t>
  </si>
  <si>
    <t xml:space="preserve">LJEVAČKI I TRGOVAČKI OBRT, VL. ŽELJKO REŠETAR, </t>
  </si>
  <si>
    <t>ČIŠĆENJE GRAFITA za GSKG za razdoblje do 30.11.2015.</t>
  </si>
  <si>
    <t>28.01.2015.</t>
  </si>
  <si>
    <t>HIDROSTRES D.O.O., GRADIŠČANSKA ULICA 22, 10000 ZAGREB</t>
  </si>
  <si>
    <t>ODRŽAVANJE I POPRAVAK AUTOMATSKE PRAONICE VOZILA WESUMAT za razdoblje do 30.11.2015.</t>
  </si>
  <si>
    <t>AUTO ENIGMA D.O.O., IVANA SOPIĆA 10, 10431 SVETA NEDELJA</t>
  </si>
  <si>
    <t>VOZAČKI STOLCI I REZERVNI DIJELOVI VOZAČKIH STOLACA TIP ISRI ZA TRAMVAJE za razdoblje do 30.06.2015.</t>
  </si>
  <si>
    <t>POPRAVAK HIDRAULIČNIH AMORTIZERA KOLJEVKE TRAMVAJA TIP ČKD za razdoblje do 30.09.2015.</t>
  </si>
  <si>
    <t>30.09.2015.</t>
  </si>
  <si>
    <t>PREVENTIVNA I OBVEZATNA PREVENTIVNA DEZINFEKCIJA, DEZINSEKCIJA I DERATIZACIJA za razdoblje do 30.06.2015. godine</t>
  </si>
  <si>
    <t>ŠLJUNAK I PIJESAK RIJEČNI, JEZERSKI za razdoblje do 30.04.2015.</t>
  </si>
  <si>
    <t>VODOMJERI za VIO d.o.o. za razdoblje do 31.03.2015.</t>
  </si>
  <si>
    <t>IKOM D.O.O., KOVINSKA 7, 10090 ZAGREB-SUSEDGRAD</t>
  </si>
  <si>
    <t>POSEBNI LINIJSKI I POVREMENI PRIJEVOZ PUTNIKA U UNUTARNJEM CESTOVNOM PROMETU za razdoblje do 31.08.2015.</t>
  </si>
  <si>
    <t>LJEPILO ZA POLAGANJE GUMENIH PODOVA za razdoblje do 31.05.2015</t>
  </si>
  <si>
    <t>31.05.2015.</t>
  </si>
  <si>
    <t>PVC PROIZVODNI LONCI I PALETE ZA PROIZVODNJU BILJA za razdoblje do 30.04.2015.</t>
  </si>
  <si>
    <t>PAPIRNATE PARKIRNE MAGNETSKE KARTICE za razdoblje do 30.04.2015. za podružnicu Zagrebparking</t>
  </si>
  <si>
    <t>AUGUSTINI D.O.O., BANI 102, 10000 ZAGREB</t>
  </si>
  <si>
    <t>UKRASNO BILJE; GRUPA 1.PRESADNICE JEDNOGODIŠNJEG BILJA I SJEME JEDNOGODIŠNJEG BILJA za razdoblje do 31.01.2015.</t>
  </si>
  <si>
    <t>31.01.2015.</t>
  </si>
  <si>
    <t>TRESET, SUPSTRATI I KORA DRVETA ZA UZGOJ BILJA za razdoblje do 31.05.2015.</t>
  </si>
  <si>
    <t>STROJNI UTOVAR, PRIJEVOZ I DEPONIRANJE VIŠKA ZEMLJE za period do 28.2.2015.godine.</t>
  </si>
  <si>
    <t>RAZNI UREDSKI POTROŠNI MATERIJAL za period do 31.03.2015. za VIO d.o.o.</t>
  </si>
  <si>
    <t>02.02.2015.</t>
  </si>
  <si>
    <t>AUTO GUME za razdoblje do 31.03.2015.</t>
  </si>
  <si>
    <t>VULKAL D.O.O., SAMOBORSKA CESTA 310, 10000 ZAGREB</t>
  </si>
  <si>
    <t>SREDSTVA ZA ZAŠTITU BILJA za razdoblje do 31.08.2015.</t>
  </si>
  <si>
    <t>AGROTUROPOLJE D.O.O., VELIKOGORIČKA 43, 10415 NOVO ČIČE</t>
  </si>
  <si>
    <t>ALUMINIJSKE PLOČE ZA PROMETNE ZNAKOVE za razdoblje do 30.04.2015.</t>
  </si>
  <si>
    <t>09.02.2015.</t>
  </si>
  <si>
    <t>TISAK DA-DA D.O.O., VELINCI 19/A, 49295 KUMROVEC</t>
  </si>
  <si>
    <t>ZRAČNI I HIDRAULIČNI DIJELOVI TRAMVAJA za razdoblje do 31.08.2015.</t>
  </si>
  <si>
    <t>RAČUNALNA OPREMA za VIO d.o.o. za razdoblje do 01.06.2015.</t>
  </si>
  <si>
    <t>01.06.2015.</t>
  </si>
  <si>
    <t>KONTAKTI, PLETENICE I OSIGURAČI ZA TRAMVAJSKA VOZILA za razdoblje do 31.08.2015.</t>
  </si>
  <si>
    <t>05.02.2015.</t>
  </si>
  <si>
    <t>IZRADA HIDROIZOLACIJSKE OBLOGE U VODNIM KOMORAMA VODOSPREMA U SUSTAVU VODOOPSKRBE GRADA ZAGREBA - VODNA KOMORA GRAD MLADIH ZA RAZDOBLJE DO 30.04.2015</t>
  </si>
  <si>
    <t>12.02.2015.</t>
  </si>
  <si>
    <t>Održavanje i proširena podrška informacijskog sustava Centrix za razdoblje do 31.03.2015.</t>
  </si>
  <si>
    <t>POVREMENI NAJAM HIDRAULIČNOG BAGERA S OKRETNOM KUPOLOM  za razdoblje do 31.03.2015.</t>
  </si>
  <si>
    <t>NABAVA USLUGA U NEPOKRETNOJ ELEKTRONIČKOJ KOMUNIKACIJSKOJ MREŽI za period do 15.03.2015. godine</t>
  </si>
  <si>
    <t>15.03.2015.</t>
  </si>
  <si>
    <t>METRONET TELEKOMUNIKACIJE D.D., ULICA GRADA VUKOVARA 269/D, 10000 ZAGREB</t>
  </si>
  <si>
    <t>POTROŠNI MATERIJAL I PRIBOR ZA NJEGU VOZILA za VIO d.o.o. za razdoblje do 31.03.2015.</t>
  </si>
  <si>
    <t>13.02.2015.</t>
  </si>
  <si>
    <t>RUČNI ALATI ZA POLJOPRIVREDU I HORTIKULTURU za VIO d.o.o. za razdoblje do 31.03.2015.</t>
  </si>
  <si>
    <t>ANTITRAUMATSKE PODLOGE za razdoblje do  31.05.2015.</t>
  </si>
  <si>
    <t>PROIZVODI OD OLOVA, CINKA I KOSITRA za VIO d.o.o. za razdoblje do 31.03.2015.</t>
  </si>
  <si>
    <t>Zaprimljeno je više od naručenog zbog završetka započetih radova.</t>
  </si>
  <si>
    <t>NATRIJEV HIPOKLORIT I SULFATNA (SUMPORNA) KISELINA za VIO d.o.o. za razdoblje do 31.03.2015.</t>
  </si>
  <si>
    <t>IVERO D.O.O., PLANINSKA 13, 10360 SESVETE</t>
  </si>
  <si>
    <t>POLAGANJE TEPIHA ZA POTREBE SAJAMSKIH PRIREDBI za razdoblje do 30.09.2015.</t>
  </si>
  <si>
    <t>IZRADA I ODRŽAVANJE PRIVREMENIH ELEKTROINSTALACIJA ZA  SAJMOVE,  MANIFESTACIJE I BLAGDANE za razdoblje do 01.11.2015.</t>
  </si>
  <si>
    <t>01.11.2015.</t>
  </si>
  <si>
    <t>NAJAM OCTANORM KONSTRUKCIJE S IZVEDBOM IZLOŽBENOG PROSTORA za razdoblje do 01.11.2015.</t>
  </si>
  <si>
    <t>JEDNOKRATNI TEPISI ZA SAJAMSKE POTREBE za razdoblje do 01.11.2015.</t>
  </si>
  <si>
    <t>DIJAMANTNE KRUNE I DIJAMANTNE REZNE PLOČE za VIO d.o.o. za razdoblje do 31.03.2015.</t>
  </si>
  <si>
    <t>DIATEH, VL. ARMIN ŠISTEK, HRASTOVIČKA 33, 10250 LUČKO</t>
  </si>
  <si>
    <t>AKUMULATORI ZA OSOBNA I TERETNA VOZILA za VIO d.o.o. za razdoblje do 31.03.2015.</t>
  </si>
  <si>
    <t>RUČNI NEELEKTRIČNI ALATI za VIO d.o.o. za razdoblje do 31.03.2015.</t>
  </si>
  <si>
    <t>LEŽAJEVI za VIO d.o.o. za razdoblje do 31.03.2015.</t>
  </si>
  <si>
    <t>TONERI I TINTE za VIO d.o.o. za razdoblje do 30.04.2015.</t>
  </si>
  <si>
    <t>SREDSTVA ZA ODMAŠĆIVANJE, ČIŠĆENJE, ANTIKOROZIVNU ZAŠTITU I SKIDANJE PREMAZA za VIO d.o.o. za razdoblje do 31.03.2015.</t>
  </si>
  <si>
    <t>NAFTNI DERIVATI; GRUPA 1. NAFTNI DERIVATI za GRADSKU PLINARU ZAGREB d.o.o. za razdoblje do 30.04.2015.</t>
  </si>
  <si>
    <t>DDNEVNO I PERIODIČNO ČIŠĆENJE I PRANJE POSLOVNIH PROSTORA, OTVORENIH I ZATVORENIH PROSTORA SPORTSKIH OBJEKATA, JAVNIH GARAŽA I DEPONIJA MOTORNIH VOZILA ZA PODRUŽNICU ZAGREBPARKING za razdoblje do 31.03.2015.</t>
  </si>
  <si>
    <t>17.02.2015.</t>
  </si>
  <si>
    <t>ANTIFRIZ za VIO d.o.o. za razdoblje do 30.04.2015.</t>
  </si>
  <si>
    <t>USLUGA DEPONIRANJA KAMENOG MATERIJALA ZA KORISNIKA ZAGREBAČKE CESTE - NADCESTARIJA II, JELKOVEČKA 4, SESVETE za razdoblje do 30.09.2015. godine</t>
  </si>
  <si>
    <t>ŽIČANI PROIZVODI za VIO d.o.o. za razdoblje do 31.03.2015.</t>
  </si>
  <si>
    <t>23.02.2015.</t>
  </si>
  <si>
    <t>SANITARIJE za VIO d.o.o. za razdoblje do 31.03.2015.</t>
  </si>
  <si>
    <t>25.02.2015.</t>
  </si>
  <si>
    <t>METLE SIRKOVE za VIO d.o.o. za razdoblje do 31.03.2015.</t>
  </si>
  <si>
    <t>USLUGE PRIVREMENOG ZAPOŠLJAVANJA RADNIKA za razdoblje do 01.04.2016.g.</t>
  </si>
  <si>
    <t>26.02.2015.</t>
  </si>
  <si>
    <t>01.04.2016.</t>
  </si>
  <si>
    <t>ELECTUS DGS D.O.O., STROJARSKA CESTA 20, 10000 ZAGREB</t>
  </si>
  <si>
    <t>STAKLO, STAKLARSKI MATERIJAL I STAKLARSKE USLUGE za VIO d.o.o. za razdoblje do 31.03.2015.</t>
  </si>
  <si>
    <t>05.03.2015.</t>
  </si>
  <si>
    <t>VIJCI I SPOJNI ELEMENTI za VIO d.o.o. za razdoblje do 31.03.2015.</t>
  </si>
  <si>
    <t>KVARCNI PIJESAK za razdoblje do 30.11.2015. godine</t>
  </si>
  <si>
    <t>09.03.2015.</t>
  </si>
  <si>
    <t>JEDINSTVO D.D., MIHALJEKOV JAREK 33, 49000 KRAPINA</t>
  </si>
  <si>
    <t>ČIŠĆENJE UNUTRAŠNJOSTI TRAMVAJSKIH VOZILA TIP NT 2200 za razdoblje do 31.12.2015.</t>
  </si>
  <si>
    <t>11.03.2015.</t>
  </si>
  <si>
    <t>AG SJAJ D.O.O., FALLEROVO ŠETALIŠTE 22, 10000 ZAGREB</t>
  </si>
  <si>
    <t>ODRŽAVANJE INFORMACIJSKOG POSLOVNOG SUSTAVA APLIKACIJA "LAUS-ARGOSY" za razdoblje do 31.07.2015.</t>
  </si>
  <si>
    <t>POVREMENI NAJAM ROVOKOPAČA - UTOVARIVAČA (KOMBINIRKA) za podružnicu Zagrebačke ceste za razdoblje do 30.06.2015.</t>
  </si>
  <si>
    <t>13.03.2015.</t>
  </si>
  <si>
    <t>SOL ZA POSIPANJE CESTA za razdoblje do 31.03.2015.</t>
  </si>
  <si>
    <t>ČIŠĆENJE KANALA I SLIVNIKA NA ISTOČNOM DIJELU GRADA ZAGREBA za razdoblje do 30.06.2015.</t>
  </si>
  <si>
    <t>18.03.2015.</t>
  </si>
  <si>
    <t>ULJA I MAZIVA za VIO d.o.o. za razdoblje do 31.03.2015.</t>
  </si>
  <si>
    <t>VOZNE, PARKIRNE I PVC KARTICE za razdoblje do 31.12.2015. godine</t>
  </si>
  <si>
    <t>ČIŠĆENJE KANALA I SLIVNIKA NA ZAPADNOM DIJELU GRADA ZAGREBA</t>
  </si>
  <si>
    <t>HIDROCOMMERCE GRUPA D.O.O., IVANA LUČIĆA 2A, 10000 ZAGREB</t>
  </si>
  <si>
    <t>GRANITNI NADGROBNI ELEMENTI za razdoblje do 01.03.2016.godine</t>
  </si>
  <si>
    <t>01.03.2016.</t>
  </si>
  <si>
    <t>KLESS D.O.O., VUGROVEČKA 77, 10360 SESVETE</t>
  </si>
  <si>
    <t>DNEVNO I PERIODIČNO ČIŠĆENJE I PRANJE POSLOVNIH PROSTORA, OTVORENIH I ZATVORENIH PROSTORA SPORTSKIH OBJEKATA, JAVNIH GARAŽA I DEPONIJA MOTORNIH VOZILA za razdoblje do 31.08.2015.</t>
  </si>
  <si>
    <t>25.03.2015.</t>
  </si>
  <si>
    <t>ODRŽAVANJE INFORMACIJSKOG POSLOVNOG SUSTAVA APLIKACIJA "LAUS-ARGOSY" za Upravu ZGH za razdoblje do 30.06.2015.</t>
  </si>
  <si>
    <t>KAMEN I KAMENI AGREGATI-DOLOMITNI ZA PODRUŽNICU ZRINJEVAC za razdoblje do 31.05.2015.</t>
  </si>
  <si>
    <t>GOLUBOVEČKI KAMENOLOMI D.O.O., NOVI GOLUBOVEC 26, 49255 NOVI GOLUBOVEC</t>
  </si>
  <si>
    <t>USLUGA DEPONIRANJA KAMENOG MATERIJALA; GRUPA 2. USLUGA DEPONIRANJA KAMENOG MATERIJALA ZA KORISNIKA ZAGREBAČKE CESTE - NADCESTARIJA IV, BUKOVAČKA 4, ZAGREB za razdoblje do 31.12.2015.</t>
  </si>
  <si>
    <t>BETONSKI PROIZVODI KAO "SAMOBORKA" ZA PODRUŽNICU ZRINJEVAC ZA RAZDOBLJE DO 30.06.2015.</t>
  </si>
  <si>
    <t>RAZNI UREDSKI POTROŠNI MATERIJAL ZA RAZDOBLJE DO 30.06.2015.</t>
  </si>
  <si>
    <t>BIRODOM D.O.O., UL. HOJNIKOVA 19, 10250 LUČKO</t>
  </si>
  <si>
    <t>BETON; GRUPA 1. Beton - zemljovlažni - isporuka istočni dio grada Zagreba za razdoblje do 31.07.2015.</t>
  </si>
  <si>
    <t>BETON; GRUPA 1. Beton - zemljovlažni - isporuka istočni dio grada Zagreba za podružnicu Zagrebačke ceste za razdoblje do 31.05.2015.</t>
  </si>
  <si>
    <t>BETONSKI PROIZVODI KAO "SAMOBORKA" za podružnicu Zagrebačke ceste za razdoblje do 31.05.2015.</t>
  </si>
  <si>
    <t>BETON; GRUPA 3. Beton - zemljovlažni - isporuka južni dio grada Zagreba (PODRUČJR GRADSKIH ČETVRTI: NOVI ZAGREB ISTOK, NOVI ZAGREB ZAPAD, BREZOVICA, TRNJE I TREŠNJAVKA JUG) za podružnicu Zagrebačke ceste za razdoblje do 31.05.2015.</t>
  </si>
  <si>
    <t>MALI GRM, GRANČARSKA I ODV. 2, 10257 BREZOVICA</t>
  </si>
  <si>
    <t>POCINČANI LIMENI ULOŠCI ZA RAZDOBLJE DO 31.12.2015.</t>
  </si>
  <si>
    <t>BBB  D.O.O., SOPNIČKA 93A, 10360 SESVETE</t>
  </si>
  <si>
    <t>ULJA I MAZIVA za razdoblje do 31.07.2015.</t>
  </si>
  <si>
    <t>TONERI I TINTE za razdoblje do 31.07.2015. godine</t>
  </si>
  <si>
    <t>ČELIČNE OBUJMICE, ANKERI I KLINOVI ZA PROMETNE ZNAKOVE za razdoblje do 30.06.2015.</t>
  </si>
  <si>
    <t>STAKLENE KUGLICE ZA RETROREFLEKSIJU za razdoblje do 30.06.2015.</t>
  </si>
  <si>
    <t>TI KEM D.O.O., MIRAMARSKA 40, 10000 ZAGREB</t>
  </si>
  <si>
    <t>GRAĐEVINSKI MATERIJALI za razdoblje do 30.06.2015.</t>
  </si>
  <si>
    <t>IMPREGNIRANI I NEIMPREGNIRANI  KOLCI ZA KOLANJE DRVEĆA ZA RAZDOBLJE DO 31.08.2015.</t>
  </si>
  <si>
    <t>HLADNA DVOKOMPONENTNA PLASTIKA ZA IZRADU OZNAKA NA KOLNIKU za razdoblje do 30.06.2015.</t>
  </si>
  <si>
    <t>09.04.2015.</t>
  </si>
  <si>
    <t>ITT - RIJEKA D.O.O., IVANA DEŽMANA 4, 51000 RIJEKA</t>
  </si>
  <si>
    <t>OPREMA ZA UPRAVLJANJE I SIGURNOST PRIVREMENE REGULACIJE U CESTOVNOM PROMETU za razdoblje do 30.06.2015.</t>
  </si>
  <si>
    <t>PROMETNA OGLEDALA za razdoblje do 30.06.2015.</t>
  </si>
  <si>
    <t>BLAŽEVIĆ D.O.O., JEŽDOVEC, MIKULINI bb, 10250 LUČKO</t>
  </si>
  <si>
    <t>REZERVNI DIJELOVI I ZAMJENSKE SPRAVE ZA DJEČJA IGRALIŠTA PROIZVOĐAČA "USLUGA" za razdoblje do 30.06.2015.</t>
  </si>
  <si>
    <t>10.04.2015.</t>
  </si>
  <si>
    <t>USLUGA D.O.O., KALVARIJA 16, 34550 PAKRAC</t>
  </si>
  <si>
    <t>KEMIJSKO ČIŠĆENJE, PRANJE I GLAČANJE ODJEĆE I OSTALIH TKANINA za razdoblje do 31.12.2015.</t>
  </si>
  <si>
    <t>NAJAM ŠATORA I OPREME ZA ŠATORE; GRUPA 2. NAJAM OPREME ZA ŠATOR za razdoblje do 30.06.2015.</t>
  </si>
  <si>
    <t>ŠTAND EXPO D.O.O., VOJINA BAKIĆA 6, 10000 ZAGREB</t>
  </si>
  <si>
    <t>NAJLONSKE NITI ZA TRAVOKOSILICE ZA RAZDOBLJE DO 30.09.2015. GODINE</t>
  </si>
  <si>
    <t>14.04.2015.</t>
  </si>
  <si>
    <t>NAJAM ŠATORA I OPREME ZA ŠATORE; GRUPA 1. NAJAM ŠATORA za razdoblje do 30.06.2015.</t>
  </si>
  <si>
    <t>MREŽE, UŽAD I GURTNE za razdoblje do 31.08.2015. godine</t>
  </si>
  <si>
    <t>BOJE I LAKOVI za razdoblje do 30.09.2015. godine</t>
  </si>
  <si>
    <t>TURBO-ZG D.O.O., ULICA GRADA VUKOVARA 271, 10000 ZAGREB</t>
  </si>
  <si>
    <t>PRIBOR I SREDSTVA ZA PRANJE, ČIŠĆENJE, HIGIJENU I NJEGU ZA RAZDOBLJE DO 31.07.2015.</t>
  </si>
  <si>
    <t>17.04.2015.</t>
  </si>
  <si>
    <t>PROIZVODI OD ŽELJEZA I ČELIKA za razdoblje do 31.07.2015. godine</t>
  </si>
  <si>
    <t>CESTOGRAĐEVNI BITUMEN (50/70) za razdoblje od 45 dana</t>
  </si>
  <si>
    <t>04.06.2015.</t>
  </si>
  <si>
    <t>SLUGA DEPONIRANJA KAMENOG MATERIJALA; GRUPA 1. USLUGA DEPONIRANJA KAMENOG MATERIJALA ZA KORISNIKA ZAGREBAČKE CESTE - NADCESTARIJA II, JELKOVEČKA 4, SESVETE za razdoblje do 30.06.2015. g.</t>
  </si>
  <si>
    <t>IZRADA PRESS CLIPPING-a S ISPORUKOM SELEKTIRANIH ČLANAKA za razdoblje do 31.12.2015.</t>
  </si>
  <si>
    <t>PRESSCUT D.O.O., DOMAGOJEVA 2, 10000 ZAGREB</t>
  </si>
  <si>
    <t>REDOVNI TEHNIČKI PREGLED VOZILA za VODOOPSKRBU I ODVODNJU d.o.o. za razdoblje 30.06.2015.</t>
  </si>
  <si>
    <t>21.04.2015.</t>
  </si>
  <si>
    <t>AUTOZUBAK D.O.O., ZAGREBAČKA 117, 10410 VELIKA GORICA</t>
  </si>
  <si>
    <t>Razlika je zbog dodatnih sati rada i čekanja.</t>
  </si>
  <si>
    <t>POTROŠNI MATERIJAL ZA NJEGU VOZILA (SPUŽVE, STRUGAČ LEDA I SL.) za razdoblje do 30.09.2015. godine.</t>
  </si>
  <si>
    <t>IZRADA I ODRŽAVANJE PRIVREMENIH ELEKTROINSTALACIJA ZA SAJMOVE, MANIFESTACIJE I BLAGDANE za razdoblje do 31.06.2015.</t>
  </si>
  <si>
    <t>22.04.2015.</t>
  </si>
  <si>
    <t>NAJAM USLUGE NADZORA UPRAVLJANJA VOZNIM PARKOM (FM SUSTAV) za razdoblje do 31.12.2015.</t>
  </si>
  <si>
    <t>23.04.2015.</t>
  </si>
  <si>
    <t>CVS MOBILE D.D., ULICA GRADNIKOVE BRIGADE 11, 1000 LJUBLJANA</t>
  </si>
  <si>
    <t>KOČIONE OBLOGE ZA AUTOBUSE za razdoblje do 30.09.2015.</t>
  </si>
  <si>
    <t>OBRUČI KOTAČA ZA TRAMVAJE za razdoblje do 31.12.2015.</t>
  </si>
  <si>
    <t>OMV-INDOIL D.O.O., GOSPODARSKA 18, 10255 GORNJI STUPNIK</t>
  </si>
  <si>
    <t>PROIZVODI OD BETONA - CESTOVNI PROGRAM ZA ZAGREBAČKE CESTE za razdoblje do 30.06.2015.</t>
  </si>
  <si>
    <t>RETA D.O.O., ZAGREBAČKA 37, 47000 KARLOVAC</t>
  </si>
  <si>
    <t>RUČNI ALATI ZA POLJOPRIVREDU I HORTIKULTURU za razdoblje do 30.06.2015.</t>
  </si>
  <si>
    <t>USLUGE PRIVREMENOG ZAPOŠLJAVANJA RADNIKA ZA POTREBE DRUŠTVA GSKG d.o.o. ZA RAZDOBLJE DO 31.12.2015. g.</t>
  </si>
  <si>
    <t>KAMEN I KAMENI AGREGATI - DOLOMITNI GRUPA 1: KAMEN I KAMENI AGREAGATI-DOLOMITNI ZA PODRUŽNICU ZAGREBAČKE CESTE LOKACIJA ISPORUKE GRAD ZAGREB, ASFALTNA BAZA RAKITJE za razdoblje do 30.09.2015.</t>
  </si>
  <si>
    <t>SLUGE PRIVREMENOG ZAPOŠLJAVANJA RADNIKA ZA POTREBE DRUŠTVA VODOOPSKRBA I ODVODNJA d.o.o. ZA RAZDOBLJE DO 31.12.2015. g.</t>
  </si>
  <si>
    <t>REZERVNI DIJELOVI ZA BCS PROGRAM ZA RAZDOBLJE DO 30.09.2015. GODINE</t>
  </si>
  <si>
    <t>BILO ZAGREB D.O.O., JOSIPA ANIĆA 24, 10 000 ZAGREB</t>
  </si>
  <si>
    <t>PAPIRNATE PARKIRNE MAGNETSKE KARTICE za razdoblje do 31.12.2015.</t>
  </si>
  <si>
    <t>REDOVNI TEHNIČKI PREGLED VOZILA za Gradsku plinaru Zagreb d.o.o. za razdoblje do 30.06.2015.</t>
  </si>
  <si>
    <t>27.04.2015.</t>
  </si>
  <si>
    <t>METLE BREZOVE za razdoblje do 30.06.2015.</t>
  </si>
  <si>
    <t>CIJEVI PEHD, PVC I KORUGIRANJE ZA RAZDOBLJE DO 30.09.2015. GODINE</t>
  </si>
  <si>
    <t>AGM D.O.O., ZAGREBAČKI HOLDING D.O.O.</t>
  </si>
  <si>
    <t>REDOVNI TEHNIČKI PREGLED VOZILA za razdoblje do 30.06.2015.</t>
  </si>
  <si>
    <t>11.06.2015.</t>
  </si>
  <si>
    <t>ANTUNOVIĆ TA D.O.O., ZAGREBAČKA AVENIJA 100/A, 10000 ZAGREB</t>
  </si>
  <si>
    <t>ODRŽAVANJE  POTHODNIKA VELESAJAM - SIGET i UTRINA - ZAPRUĐE za GSKG za razdoblje do 30.11.2015.</t>
  </si>
  <si>
    <t>28.04.2015.</t>
  </si>
  <si>
    <t>BOJE I RAZRJEĐIVAČI ZA IZRADU TANKOSLOJNE HORIZONTALNE SIGNALIZACIJE za razdoblje do 31.07.2015. godine</t>
  </si>
  <si>
    <t>ODRŽAVANJE APLIKATIVNOG SUSTAVA "CARPIO" za razdoblje do 30.09.2015.g.</t>
  </si>
  <si>
    <t>TROL DK D.O.O., BISAČKA 14, 10000 ZAGREB</t>
  </si>
  <si>
    <t>DNEVNO I PERIODIČNO ČIŠĆENJE I PRANJE POSLOVNIH PROSTORA za GSKG d.o.o. za razdoblje do 29.02.2016.</t>
  </si>
  <si>
    <t>29.02.2016.</t>
  </si>
  <si>
    <t>STROJNO VAĐENJE I RAZBUŠIVANJE PANJEVA za razdoblje do 31.01.2016.</t>
  </si>
  <si>
    <t>05.05.2015.</t>
  </si>
  <si>
    <t>31.01.2016.</t>
  </si>
  <si>
    <t>ČIŠĆENJE KANALA I SLIVNIKA NA ISTOČNOM DIJELU GRADA ZAGREBA za razdoblje do 30.06.2015 g.</t>
  </si>
  <si>
    <t>DNEVNO I PERIODIČNO ČIŠĆENJE I PRANJE POSLOVNIH PROSTORA ZA PODRUŽNICU ZAGREBPARKING za razdoblje do 31.08.2015.</t>
  </si>
  <si>
    <t>OBVEZNA PERIODIČNA ISPITIVANJA SUKLADNO ZAKONU O ZAŠTITI NA RADU, ZAKONU O ZAŠTITI OD POŽARA I ZAKONU O MJERITELJSTVU za razdoblje do 31.12.2015.g.</t>
  </si>
  <si>
    <t>ZIK D.O.O., LJUDEVITA GAJA 17/III, 10000 ZAGREB</t>
  </si>
  <si>
    <t>SREDSTVA ZA ODMAŠĆIVANJE, ČIŠĆENJE, ANTIKOROZIVNU ZAŠTITU I SKIDANJE PREMAZA za razdoblje do 31.08.2015. godine</t>
  </si>
  <si>
    <t>NABAVA USLUGA U NEPOKRETNOJ ELEKTRONIČKOJ KOMUNIKACIJSKOJ MREŽI za razdoblje do 15.03.2016. godine</t>
  </si>
  <si>
    <t>15.03.2016.</t>
  </si>
  <si>
    <t>ZALIJEVANJE REŠKI TARACA VISOKOELASTOMERNOM MASOM VRUĆIM POSTUPKOM za razdoblje do 31.12.2015.</t>
  </si>
  <si>
    <t>ODRŽAVANJE  POTHODNIKA GLAVNI KOLODVOR za GSKG za razdoblje do 31.10.2015.</t>
  </si>
  <si>
    <t>31.10.2015.</t>
  </si>
  <si>
    <t>REDOVNO ODRŽAVANJE POKRETNIH STUBA I PODIZNIH PLATFORMI za GSKG za razdoblje do 30.09.2015.</t>
  </si>
  <si>
    <t>OTIS DIZALA D.O.O., PRILAZ VLADISLAVA BRAJKOVIĆA 15, 10000 ZAGREB</t>
  </si>
  <si>
    <t>POVREMENI NAJAM CESTARSKOG VOZILA S DUPLOM KABINOM NOSIVOSTI 2-4 TONE (KIPER) I KUKOM ZA PRIKOLICU ZA RAZDOBLJE DO 31.07.2015.</t>
  </si>
  <si>
    <t>POPRAVAK I PROVJERA ISPRAVNOSTI STABILNOG SUSTAVA ZA DOJAVU POŽARA za razdoblje do 31.12.2015.g.</t>
  </si>
  <si>
    <t>11.05.2015.</t>
  </si>
  <si>
    <t>OPSKRBA PLINOM; GRUPA 2. PLIN ZA POGON VOZILA, ISPORUKA PUNIONICA PLINA</t>
  </si>
  <si>
    <t>ODRŽAVANJE SUSTAVA ZA MASOVNI ISPIS I KUVERTIRANJE ZA GRADSKU PLINARU ZAGREB - OPSKRBA d.o.o. za razdoblje do 31.03.2016.</t>
  </si>
  <si>
    <t>31.03.2016.</t>
  </si>
  <si>
    <t>KOŠNJA, GRABLJANJE I ODVOZ KOROVA za razdoblje do 31.12.2015.</t>
  </si>
  <si>
    <t>REDOVNO I IZVANREDNO ODRŽAVANJE, FUNKCIONALNA NADOGRADNJA, POPRAVAK I REZERVNI DIJELOVI SUSTAVA ZA NADZOR I UPRAVLJANJE PROMETOM PROIZVOĐAČA ATRON GmbH za razdoblje do 28.02.2016.</t>
  </si>
  <si>
    <t>28.02.2016.</t>
  </si>
  <si>
    <t>BETON; GRUPA 2. Beton - zemljovlažni - isporuka zapadni dio grada Zagreba za razdoblje do 31.07.2015.</t>
  </si>
  <si>
    <t>GIP PIONIR D.O.O., ZAGREBAČKA 145B, 10000 ZAGREB</t>
  </si>
  <si>
    <t>AUTO GUME za razdoblje do 31.08.2015.</t>
  </si>
  <si>
    <t>PNEUMATIK D.O.O., KARAŽNIK 2/A, 10000 ZAGREB</t>
  </si>
  <si>
    <t>TEHNIČKI PLINOVI za razdoblje do 30.06.2015.</t>
  </si>
  <si>
    <t>21.05.2015.</t>
  </si>
  <si>
    <t>MESSER CROATIA PLIN  D.O.O., INDUSTRIJSKA 1, 10290 ZAPREŠIĆ</t>
  </si>
  <si>
    <t>ČIŠĆENJE KANALA I SLIVNIKA NA ZAPADNOM DIJELU GRADA ZAGREBA za razdoblje do 30.06.2015 g.</t>
  </si>
  <si>
    <t>KAMEN I KAMENI AGREGATI - KAMENO BRAŠNO za razdoblje do 30.06.2015.</t>
  </si>
  <si>
    <t>NAFTNI DERIVATI; GRUPA 1. NAFTNI DERIVATI ZA GSKG D.O.O. ZA RAZDOBLJE DO 31.08.2015.</t>
  </si>
  <si>
    <t>NAFTNI DERIVATI; GRUPA 1. NAFTNI DERIVATI za GPZO d.o.o. za razdoblje do 31.08.2015.</t>
  </si>
  <si>
    <t>NAFTNI DERIVATI; GRUPA 1. NAFTNI DERIVATI za AGM d.o.o. za razdoblje do 31.08.2015.</t>
  </si>
  <si>
    <t>RAČUNALNA OPREMA ZA RAZDOBLJE DO 31.08.2015.</t>
  </si>
  <si>
    <t>NAFTNI DERIVATI; GRUPA 1. NAFTNI DERIVATI za razdoblje do 31.08.2015. godine</t>
  </si>
  <si>
    <t>NAFTNI DERIVATI; GRUPA 2. EURODIZEL BS - isporuka pumpna stanica ponuditelja na području grada Velike Gorice za razdoblje do 31.08.2015.</t>
  </si>
  <si>
    <t>11.09.2015.</t>
  </si>
  <si>
    <t>ELEKTROENERGETSKI VODOVI I KABELI za razdoblje do 30.09.2015.</t>
  </si>
  <si>
    <t>ELCAB D.O.O., OREŠKOVIĆEVA 24, 10010 ZAGREB</t>
  </si>
  <si>
    <t>ODRŽAVANJE, POPRAVAK I PRIPREMA MJERILA MASE ZA OVJERAVANJE za razdoblje do 30.06.2015.</t>
  </si>
  <si>
    <t>LIBRA TEHNIČAR D.O.O., II PRAĆANSKA 6/A, 10000 ZAGREB</t>
  </si>
  <si>
    <t>REZERVNI DIJELOVI ZA STIHL-VIKING PROGRAM ZA RAZDOBLJE DO 30.09.2015. GODINE</t>
  </si>
  <si>
    <t>03.06.2015.</t>
  </si>
  <si>
    <t>DOLENAC PROMET D.O.O., NAZOROVA 22, 44250 PETRINJA</t>
  </si>
  <si>
    <t>USLUGE PRIMJENE I ODRŽAVANJA PROGRAMSKE OPREME APIS IT za GSKG d.o.o. za razdoblje do 01.03.2016.</t>
  </si>
  <si>
    <t>12.06.2015.</t>
  </si>
  <si>
    <t>USLUGE PRIMJENE I ODRŽAVANJA PROGRAMSKE OPREME APIS IT za VIO d.o.o. za razdoblje do 01.03.2016.</t>
  </si>
  <si>
    <t>ODRŽAVANJE I PROŠIRENA PODRŠKA INFORMACIJSKOG SUSTAVA "CENTRIX" za razdoblje do 30.06.2015.</t>
  </si>
  <si>
    <t>ODRŽAVANJE I NADOGRADNJA INFORMACIJSKOG SUSTAVA UPRAVLJANJE IMOVINOM za razdoblje do 31.10.2015.</t>
  </si>
  <si>
    <t>IGEA-INFORMACIJSKI SUSTAVI D.O.O., FRANA SUPILA 7/B, 42000 VARAŽDIN</t>
  </si>
  <si>
    <t>ODRŽAVANJE APLIKATIVNIH MODULA I NADOGRADNJA POSTOJEĆIH MODULA PROIZVOĐAČA IN2 za razdoblje do 01.11.2015. godine.</t>
  </si>
  <si>
    <t>IN2 D.O.O., MAROHNIĆEVA 1/1, 10000 ZAGREB</t>
  </si>
  <si>
    <t>ODRŽAVANJE I NADOGRADNJA INFORMACIJSKOG SUSTAVA PROIZVOĐAČA KOR za razdoblje do 30.04.2016.</t>
  </si>
  <si>
    <t>30.04.2016.</t>
  </si>
  <si>
    <t>VODOMJERI za razdoblje do 31.10.2015.</t>
  </si>
  <si>
    <t>REZERVNI DIJELOVI ZA VODOMJERE MARKE IKOM za razdoblje do 31.10.2015.</t>
  </si>
  <si>
    <t>POPRAVAK I ODRŽAVANJE TRAMVAJSKIH VOZILA NT 2200 I NT 2300 za razdoblje do 31.05.2016.</t>
  </si>
  <si>
    <t>31.05.2016.</t>
  </si>
  <si>
    <t>REZERVNI DIJELOVI I ZAMJENSKE SPRAVE ZA DJEČJA IGRALIŠTA PROIZVOĐAČA "USLUGA" za razdoblje do 31.07.2015.</t>
  </si>
  <si>
    <t>POVREMENI NAJAM ROVOKOPAČA - UTOVARIVAČA (KOMBINIRKA) za razdoblje do 30.08.2015.</t>
  </si>
  <si>
    <t>DDNEVNO I PERIODIČNO ČIŠĆENJE I PRANJE POSLOVNIH PROSTORA AGM d.o.o.  za razdoblje do 31.05.2016.</t>
  </si>
  <si>
    <t>BITUMENSKE EMULZIJE za razdoblje do 30.08.2015.</t>
  </si>
  <si>
    <t>30.08.2015.</t>
  </si>
  <si>
    <t>HIDROIZOLACIJA KATRAN D.O.O., RADNIČKA CESTA 27, 10000 ZAGREB</t>
  </si>
  <si>
    <t>POSEBNI LINIJSKI I POVREMENI PRIJEVOZ PUTNIKA U UNUTARNJEM CESTOVNOM PROMETU za razdoblje do 30.06.2016.</t>
  </si>
  <si>
    <t>30.06.2016.</t>
  </si>
  <si>
    <t>FOLIJE, TRAKE, BOJE ZA SITOTISAK I PRIBOR ZA VERTIKALNU I HORIZONTALNU SIGNALIZACIJU za razdoblje do 30.06.2015.</t>
  </si>
  <si>
    <t>DNEVNO I PERIODIČNO ČIŠĆENJE I PRANJE POSLOVNIH PROSTORA DVORANE ARENA za razdoblje do 31.05.2016.</t>
  </si>
  <si>
    <t>01.01.2015.</t>
  </si>
  <si>
    <t>AKUMULATORI ZA OSOBNA I TERETNA VOZILA za razdoblje do 30.09.2015.</t>
  </si>
  <si>
    <t>06.07.2015.</t>
  </si>
  <si>
    <t>REZERVNI DIJELOVI, ODRŽAVANJE I POPRAVAK GPS SUSTAVA ZA PRAĆENJE VOZILA ZIMSKE SLUŽBE, SUSTAVA ZA PREGLED STANJA NA CESTAMA I SUSTAVA DOJAVE MOBILNIM UREĐAJIMA za razdoblje do 31.12.2015.</t>
  </si>
  <si>
    <t>GEOGIS D.O.O., 2. MAKSIMIRSKO NASELJE 3, 10 000 ZAGREB</t>
  </si>
  <si>
    <t>DEZINFEKCIJA I KEMIJSKO ČIŠĆENJE KLIMA, VENTILACIJSKIH SUSTAVA I KUHINJSKIH UREĐAJA UZ KONTROLU MIKROBIOLOŠKE ČISTOĆE ZRAKA za razdoblje do 30.10.2015.</t>
  </si>
  <si>
    <t>EKOTOURS D.O.O., JANKOVAČKA 23, 10000 ZAGREB</t>
  </si>
  <si>
    <t>PROMETNA OGLEDALA za razdoblje do 31.12.2015.</t>
  </si>
  <si>
    <t>ODRŽAVANJE FONTANA ZA GSKG d.o.o. za razdoblje do 30.09.2015.</t>
  </si>
  <si>
    <t>KAMEN I KAMENI AGREGATI - ERUPTIVNI za razdoblje do 31.12.2015.</t>
  </si>
  <si>
    <t>KAMEN I KAMENI AGREGATI - DOLOMITNI GRUPA 3: KAMEN I KAMENI AGREGATI-DOLOMITNI ZA POTREBE ZAGREBAČKOG HOLDINGA za razdoblje do 30.09.2015.</t>
  </si>
  <si>
    <t>USLUGE PRIMJENE I ODRŽAVANJA PROGRAMSKE OPREME APIS IT za razdbolje do 01.03.2016.</t>
  </si>
  <si>
    <t>STAKLENE KUGLICE ZA RETROREFLEKSIJU za razdoblje do 31.12.2015.</t>
  </si>
  <si>
    <t>EKOLOŠKO SREDSTVO ZA SUHO POSIPAVANJE JAVNO PROMETNIH POVRŠINA U ZIMSKIM UVJETIMA za razdoblje do 31.12.2015.</t>
  </si>
  <si>
    <t>SCHEDA D.O.O., LJUDEVITA POSAVSKOG 29, 10360 SESVETE</t>
  </si>
  <si>
    <t>REDOVNI TEHNIČKI PREGLED VOZILA za GSKG d.o.o. u STP AUTOKLUB SIGET za razdoblje do 20.07.2015.</t>
  </si>
  <si>
    <t>REDOVNI TEHNIČKI PREGLED VOZILA za VIO d.o.o. u STP EURODAUS za razdoblje do 20.07.2015.</t>
  </si>
  <si>
    <t>REDOVNI TEHNIČKI PREGLED VOZILA za VIO d.o.o. u STP AUTOMEHANIKA-SERVISI za razdoblje do 20.07.2015.</t>
  </si>
  <si>
    <t>RAZNI PREHRAMBENI PROIZVODI i PIĆA; GRUPA 1: Razni prehrambeni proizvodi i pića - isporuka na lokacije korisnika za razdoblje do 31.12.2015.</t>
  </si>
  <si>
    <t>KONZUM D.D., MARIJANA ČAVIĆA 1/A, 10000 ZAGREB</t>
  </si>
  <si>
    <t>ODRŽAVANJE I NADOGRADNJA POSLOVNO INFORMACIJSKIH SUSTAVA PosIS I UPN za VIO za razdoblje do 31.12.2015.</t>
  </si>
  <si>
    <t>INFOSISTEM D.D., IVANA ŠIBLA 15, 10020 ZAGREB-NOVI ZAGREB</t>
  </si>
  <si>
    <t>08.08.2015.</t>
  </si>
  <si>
    <t>ČELIČNE OBUJMICE, ANKERI I KLINOVI ZA PROMETNE ZNAKOVE za razdoblje do 31.12.2015.</t>
  </si>
  <si>
    <t>ODRŽAVANJE I NADOGRADNJA INTERNET PREZENTACIJA PODRUŽNICA I OVISNIH DRUŠTAVA ZAGREBAČKOG HOLDINGA D.O.O. za razdoblje do 31.05.2016.</t>
  </si>
  <si>
    <t>ODRŽAVANJE I NADOGRADNJA INTERNET PREZENTACIJA PODRUŽNICA I OVISNIH DRUŠTAVA ZAGREBAČKOG HOLDINGA D.O.O. za GSKG d.o.o. za razdoblje do 31.05.2016.</t>
  </si>
  <si>
    <t>REDOVNI TEHNIČKI PREGLED VOZILA za podružnicu ZET u STP BAOTIĆ za razdoblje do 20.07.2015.</t>
  </si>
  <si>
    <t>REDOVNI TEHNIČKI PREGLED VOZILA za podružnicu ČISTOĆA u STP EURODAUS ZA RAZDOBLJE DO 20.07.2015.</t>
  </si>
  <si>
    <t>REDOVNI TEHNIČKI PREGLED VOZILA za podružnice ZAGREBAČKE CESTE i ZRINJEVAC u CVH STP EUROZAGREB 1 i CVH STP EUROZAGREB 3 za razdoblje do 20.07.2015.</t>
  </si>
  <si>
    <t>REDOVNI TEHNIČKI PREGLED VOZILA za podružnicu GRADSKA GROBLJA u CVH STP AUTO MAKSIMIR za razdoblje do 20.07.2015.</t>
  </si>
  <si>
    <t>NAJAM OSOBNIH I DOSTAVNIH VOZILA PUTEM OPERATIVNOG LEASINGA ZA GSKG d.o.o.</t>
  </si>
  <si>
    <t>24.07.2016.</t>
  </si>
  <si>
    <t>PORSCHE LEASING D.O.O., VELIMIRA ŠKORPIKA 21, 10000 ZAGREB</t>
  </si>
  <si>
    <t>NAJAM OSOBNIH I DOSTAVNIH VOZILA PUTEM OPERATIVNOG LEASINGA ZA AGM d.o.o.</t>
  </si>
  <si>
    <t>NAJAM OSOBNIH I DOSTAVNIH VOZILA PUTEM OPERATIVNOG LEASINGA ZA VIO d.o.o.</t>
  </si>
  <si>
    <t>ALUMINIJSKE PLOČE ZA PROMETNE ZNAKOVE za razdoblje do 31.12.2015.</t>
  </si>
  <si>
    <t>PRVI TREPTAČ D.O.O., HERCEGOVAČKA 133, 21000 SPLIT</t>
  </si>
  <si>
    <t>MATERIJALI ZA HIGIJENSKE POTREBE ZA PODRUŽNICU ZET za razdoblje do 31.12.2015.</t>
  </si>
  <si>
    <t>RAZNI PREHRAMBENI PROIZVODI i PIĆA; Grupa 2: RAZNI PREHRAMBENI PROIZVODI I PIĆA - ISPORUKA NA LOKACIJU KORISNIKA za razdoblje do 31.12.2015.</t>
  </si>
  <si>
    <t>JADRANKA TRGOVINA D.O.O., DRAŽICA 1, 51550 MALI LOŠINJ</t>
  </si>
  <si>
    <t>NAFTNI DERIVATI; Grupa 1: NAFTNI DERIVATI za VIO d.o.o. za razdoblje do 31.08.2015.</t>
  </si>
  <si>
    <t>NAFTNI DERIVATI; GRUPA 1. NAFTNI DERIVATI za GRADSKU PLINARU ZAGREB d.o.o. za razdoblje do 31.08.2015.</t>
  </si>
  <si>
    <t>NAJAM I ČIŠĆENJE KEMIJSKIH TOALETNIH KABINA za razdoblje do 31.07.2016.</t>
  </si>
  <si>
    <t>31.07.2016.</t>
  </si>
  <si>
    <t>MESO I MESNE PRERAĐEVINE; GRUPA 3. OSTALI MESNI PROIZVODI za razdoblje do 31.12.2015.</t>
  </si>
  <si>
    <t>PIK VRBOVEC-MESNA INDUSTRIJA D.D., ZAGREBAČKA 148, 10340 VRBOVEC</t>
  </si>
  <si>
    <t>MESO I MESNE PRERAĐEVINE; GRUPA 1. SVJEŽE MESO SVINJETINA, JUNETINA, JANJETINA, TELETINA za razdoblje do 31.12.2015.</t>
  </si>
  <si>
    <t>MESO I MESNE PRERAĐEVINE; GRUPA 2. SVJEŽE MESO PILETINA I PURETINA za razdoblje do 29.02.2016</t>
  </si>
  <si>
    <t>VINDIJA D.D. VARAŽDIN, MEĐIMURSKA 6, 42000 VARAŽDIN</t>
  </si>
  <si>
    <t>PREVENTIVNA I OBVEZATNA PREVENTIVNA DEZINFEKCIJA, DEZINSEKCIJA I DERATIZACIJA za razdoblje do 31.12.2015.</t>
  </si>
  <si>
    <t>POŠTANSKE USLUGE U UNUTARNJEM PROMETU za AGM d.o.o. za razdoblje do 30.06.2016.</t>
  </si>
  <si>
    <t>POŠTANSKE USLUGE U UNUTARNJEM PROMETU za razdoblje do 30.06.2016.</t>
  </si>
  <si>
    <t>POŠTANSKE USLUGE U UNUTARNJEM PROMETU za GSKG d.o.o. za razdoblje do 30.06.2016.</t>
  </si>
  <si>
    <t>POŠTANSKE USLUGE U UNUTARNJEM PROMETU za VIO d.o.o. za razdoblje do 30.06.2016.</t>
  </si>
  <si>
    <t>POŠTANSKE USLUGE U UNUTARNJEM PROMETU za GRADSKU PLINARU ZAGREB d.o.o. za razdoblje do 30.06.2016.</t>
  </si>
  <si>
    <t>POŠTANSKE USLUGE U UNUTARNJEM PROMETU za GRADSKU PLINARU ZAGREB - OPSKRBA d.o.o. za razdoblje do 30.03.2016.</t>
  </si>
  <si>
    <t>30.03.2016.</t>
  </si>
  <si>
    <t>POŠTANSKE USLUGE U MEĐUNARODNOM PROMETU za razdoblje do 30.06.2016.</t>
  </si>
  <si>
    <t>POŠTANSKE USLUGE U MEĐUNARODNOM PROMETU za VIO d.o.o. za razdoblje do 30.06.2016.</t>
  </si>
  <si>
    <t>CESTOGRAĐEVNI BITUMEN (35/50) za razdoblje od 45 dana</t>
  </si>
  <si>
    <t>26.09.2015.</t>
  </si>
  <si>
    <t>Pakiranje dobavljača je veće od naručenih količina.(CISTERNA)</t>
  </si>
  <si>
    <t>BETON; GRUPA 4. Beton - plastični i pumpani - isporuka područje grada Zagreba za razdoblje do 31.07.2015.</t>
  </si>
  <si>
    <t>KAMEN I KAMENI AGREGATI - DOLOMITNI GRUPA 1: KAMEN I KAMENI AGREAGATI-DOLOMITNI ZA PODRUŽNICU ZAGREBAČKE CESTE LOKACIJA ISPORUKE GRAD ZAGREB, ASFALTNA BAZA RAKITJE</t>
  </si>
  <si>
    <t>BETON; GRUPA 1. Beton - zemljovlažni - isporuka istočni dio grada Zagreba za podružnicu Zagrebačke ceste za razdoblje do 31.07.2015.</t>
  </si>
  <si>
    <t>NAJAM OSOBNIH I DOSTAVNIH VOZILA PUTEM OPERATIVNOG LEASINGA ZA ZGH d.o.o.</t>
  </si>
  <si>
    <t>21.09.2015.</t>
  </si>
  <si>
    <t>UKRASNO BILJE; GRUPA 2. PRESADNICE DVOGODIŠNJEG BILJA za razdoblje do 30.07.2015.</t>
  </si>
  <si>
    <t>REDOVNI TEHNIČKI PREGLED VOZILA za GSKG d.o.o. u STP AUTOKLUB SIGET za razdoblje do 30.06.2016.</t>
  </si>
  <si>
    <t>REDOVNI TEHNIČKI PREGLED VOZILA za podružnice GRADSKA GROBLJA, ZAGREBPARKING, ZET i ZAGREBAČKI VELESAJAM u STP AUTO-REMETINEC za razdoblje do 30.06.2016.</t>
  </si>
  <si>
    <t>REDOVNI TEHNIČKI PREGLED VOZILA za podružnice UŠO, ZAGREBPARKING, ZET i ROBNI TERMINALI ZAGREB u CVH STP AUTOMEHANIKA za razdoblje do 30.06.2016.</t>
  </si>
  <si>
    <t>REDOVNI TEHNIČKI PREGLED VOZILA za podružnicU ZET u STP BAOTIĆ za razdoblje do 30.06.2016.</t>
  </si>
  <si>
    <t>TEHNIČKI PLINOVI ZA PODRUŽNICU ZET za razdoblje do 31.03.2016.</t>
  </si>
  <si>
    <t>REZERVNI DIJELOVI I ZAMJENSKE SPRAVE ZA DJEČJA IGRALIŠTA PROIZVOĐAČA "USLUGA" za razdoblje do 30.09.2015.</t>
  </si>
  <si>
    <t>REDOVNI TEHNIČKI PREGLED VOZILA za podružnice ROBNI TERMINALI ZAGREB i TRŽNICE ZAGREB u CVH STP  ZAGREB I i CVH STP AUTO MAKSIMIR za razdoblje do 30.06.2016.</t>
  </si>
  <si>
    <t>REDOVNI TEHNIČKI PREGLED VOZILA za VIO d.o.o. u CVH STP AUTOMEHANIKA za razdoblje do 20.07.2015.</t>
  </si>
  <si>
    <t>BETON; GRUPA 3. Beton - zemljovlažni - isporuka južni dio grada Zagreba (PODRUČJR GRADSKIH ČETVRTI: NOVI ZAGREB ISTOK, NOVI ZAGREB ZAPAD, BREZOVICA, TRNJE I TREŠNJAVKA JUG za razdoblje do 31.07.2015.</t>
  </si>
  <si>
    <t>FAZONSKI KOMADI, ARMATURE, CIJEVI I OSTALI DIJELOVI OD NODULARNOG LIJEVA; GRUPA 5. MEHANIČKE SPOJNICE za razdoblje do 31.12.2015.</t>
  </si>
  <si>
    <t>19.08.2015.</t>
  </si>
  <si>
    <t>HENNLICH D.O.O., STUPNIČKOOBREŠKA 17, 10255 GORNJI STUPNIK</t>
  </si>
  <si>
    <t>REDOVNI TEHNIČKI PREGLED VOZILA za GPZO d.o.o. u CVH STP AUTO MAKSIMIR za razdoblje do 30.06.2016.</t>
  </si>
  <si>
    <t>20.08.2015.</t>
  </si>
  <si>
    <t>GRAĐEVINSKI MATERIJALI ZA VIO za razdoblje do 31.10.2015.</t>
  </si>
  <si>
    <t>USLUGE U POKRETNOJ ELEKTRONIČKOJ KOMUNIKACIJSKOJ MREŽI za razdoblje do 31.07.2016.</t>
  </si>
  <si>
    <t>02.09.2015.</t>
  </si>
  <si>
    <t>REDOVNI TEHNIČKI PREGLED VOZILA za podružnice VLADIMIR NAZOR u STP AUTOKLUB SIGET za razdoblje do 30.06.2016.</t>
  </si>
  <si>
    <t>28.08.2015.</t>
  </si>
  <si>
    <t>FILTERI ZA VOZILA ZA PODRUŽNICU ZET za razdoblje do 31.03.2016.</t>
  </si>
  <si>
    <t>ODRŽAVANJE JAVNIH ZAHODA za razdoblje do 01.06.2016.</t>
  </si>
  <si>
    <t>01.06.2016.</t>
  </si>
  <si>
    <t>REDOVNI TEHNIČKI PREGLED VOZILA za podružnice ZAGREBAČKE CESTE, ZGOS i ZRINJEVAC u CVH STP EUROZAGREB za razdoblje do 30.06.2016.</t>
  </si>
  <si>
    <t>09.09.2015.</t>
  </si>
  <si>
    <t>REDOVNI TEHNIČKI PREGLED VOZILA za podružnice ZAGREBAČKE CESTE, ČISTOĆA i ZGOS u STP EURODAUS za razdoblje do 30.06.2016.</t>
  </si>
  <si>
    <t>ODRŽAVANJE PROGRAMSKOG SUSTAVA LAUS/ARGOSY za podružnicu ZET za razdoblje do 31.03.2016.</t>
  </si>
  <si>
    <t>PROJEKT IZRADE PLANOVA I DOKUMENTACIJE ZA ZIMSKU SLUŽBU za razdoblje do 31.12.2015.</t>
  </si>
  <si>
    <t>NAFTNI DERIVATI; GRUPA 2. EURODIZEL BS - isporuka pumpna stanica ponuditelja na području grada Velike Gorice za razdoblje do 31.01.2016.</t>
  </si>
  <si>
    <t>10.09.2015.</t>
  </si>
  <si>
    <t>REDOVNI TEHNIČKI PREGLED VOZILA za GPZ d.o.o. u STP AUTO-REMETINEC za razdoblje do 31.12.2015.</t>
  </si>
  <si>
    <t>REDOVNI TEHNIČKI PREGLED VOZILA za VIO d.o.o. u STP EURODAUS za razdoblje do 31.12.2015.</t>
  </si>
  <si>
    <t>REDOVNI TEHNIČKI PREGLED VOZILA za VIO d.o.o. u CVH STP AUTOMEHANIKA za razdoblje do 31.12.2015.</t>
  </si>
  <si>
    <t>REDOVNI TEHNIČKI PREGLED VOZILA za VIO d.o.o. u STP AUTOMEHANIKA-SERVISI za razdoblje do 31.12.2015.</t>
  </si>
  <si>
    <t>ODRŽAVANJE I NADOGRADNJA WEB I MOBILNE APLIKACIJE "MOJ RAČUN" za razdoblje do 30.06.2016.</t>
  </si>
  <si>
    <t>14.09.2015.</t>
  </si>
  <si>
    <t>GRAĐEVINSKI MATERIJALI za razdoblje do 31.10.2015.</t>
  </si>
  <si>
    <t>29.10.2015.</t>
  </si>
  <si>
    <t>POVREMENI NAJAM TRAKTORA S RUKOM I PRIKLJUČCIMA ZA KOŠNJU TRAVE, ŠIBLJA I GRANA DRVEĆA za razdoblje do 31.12.2015. godine</t>
  </si>
  <si>
    <t>DNEVNO I PERIODIČNO ČIŠĆENJE I PRANJE POSLOVNIH PROSTORA  VODOOPSKRBE I ODVODNJE D.O.O. za razdoblje do 31.08.2016.</t>
  </si>
  <si>
    <t>17.09.2015.</t>
  </si>
  <si>
    <t>31.08.2016.</t>
  </si>
  <si>
    <t>DNEVNO I PERIODIČNO ČIŠĆENJE I PRANJE POSLOVNIH PROSTORA PODRUŽNICA ZAGREBAČKE CESTE I ZAGREBAČKI DIGITALNI GRAD za razdoblje do 31.08.2016..</t>
  </si>
  <si>
    <t>PRIBOR I SREDSTVA ZA PRANJE, ČIŠĆENJE, HIGIJENU I NJEGU za razdoblje do 31.10.2015.</t>
  </si>
  <si>
    <t>18.09.2015.</t>
  </si>
  <si>
    <t>INSAKO D.O.O., PUŽEVA 11, 10000 ZAGREB</t>
  </si>
  <si>
    <t>NAFTNI DERIVATI; GRUPA 1. NAFTNI DERIVATI za GSKG d.o.o. za razdoblje do 31.01.2016.</t>
  </si>
  <si>
    <t>NAFTNI DERIVATI; GRUPA 1. NAFTNI DERIVATI za AGM d.o.o. za razdoblje do 31.01.2016.</t>
  </si>
  <si>
    <t>AUTO GUME za razdoblje do 31.01.2016.</t>
  </si>
  <si>
    <t>NAFTNI DERIVATI; GRUPA 1. NAFTNI DERIVATI za razdoblje do 31.01.2016.</t>
  </si>
  <si>
    <t>PREGLED DIZALA za razdoblje do 31.03.2016.</t>
  </si>
  <si>
    <t>NAFTNI DERIVATI; GRUPA 1. NAFTNI DERIVATI za GRADSKU PLINARU ZAGREB - OPSKRBA d.o.o. za razdoblje do 31.01.2016.</t>
  </si>
  <si>
    <t>NAFTNI DERIVATI; GRUPA 1. NAFTNI DERIVATI za GRADSKU PLINARU ZAGREB d.o.o. za razdoblje do 31.01.2016.</t>
  </si>
  <si>
    <t>OPREMA ZA UPRAVLJANJE I SIGURNOST PRIVREMENE REGULACIJE U CESTOVNOM PROMETU</t>
  </si>
  <si>
    <t>SOL ZA POSIPANJE CESTA ZA RAZDOBLJE DO 31.07.2016.</t>
  </si>
  <si>
    <t>TEKUĆI TEHNIČKI KLOR CL2 ZA PODRUŽNICU VIO za razdoblje do 31.03.2016.</t>
  </si>
  <si>
    <t>29.09.2015.</t>
  </si>
  <si>
    <t>CWG D.O.O., BUZINSKI PRILAZ 21, 10010 ZAGREB</t>
  </si>
  <si>
    <t>AKUMULATORI I PRIBOR; GRUPA 1. Akumulatori za razdoblje do 31.01.2016.</t>
  </si>
  <si>
    <t>DNEVNO I PERIODIČNO ČIŠĆENJE I PRANJE POSLOVNIH PROSTORA GRADSKE PLINARE ZAGREB D.O.O. za razdoblje do 29.02.2016.</t>
  </si>
  <si>
    <t>FOLIJE, TRAKE, BOJE ZA SITOTISAK I PRIBOR ZA VERTIKALNU I HORIZONTALNU SIGNALIZACIJU za razdoblje do 31.12.2015.</t>
  </si>
  <si>
    <t>BETON; GRUPA 1. Beton - zemljovlažni - isporuka istočni dio grada Zagreba za razdoblje do 28.02.2016.</t>
  </si>
  <si>
    <t>NAFTNI DERIVATI; Grupa 1: NAFTNI DERIVATI za VIO d.o.o. za razdoblje do 31.01.2016.</t>
  </si>
  <si>
    <t>POTROŠNI MATERIJAL ZA NJEGU VOZILA (SPUŽVE, STRUGAČ LEDA I SL.) za razdoblje  do 31.01.2016.</t>
  </si>
  <si>
    <t>BRZOVEŽUĆI REPARATURNI MORT za razdoblje do 31.01.2016.</t>
  </si>
  <si>
    <t>BOJE I RAZRJEĐIVAČI ZA IZRADU TANKOSLOJNE HORIZONTALNE SIGNALIZACIJE za razdoblje do 31.12.2015.</t>
  </si>
  <si>
    <t>CHROMOS-SVJETLOST D.O.O., MIJATA STOJANOVIĆA 13, 35257 LUŽANI</t>
  </si>
  <si>
    <t>BETON; GRUPA 2. Beton - zemljovlažni - isporuka zapadni dio grada Zagreba za razdoblje do 28.02.2016.</t>
  </si>
  <si>
    <t>ULJA I MAZIVA za razdbolje do 31.01.2016.</t>
  </si>
  <si>
    <t>01.10.2015.</t>
  </si>
  <si>
    <t>UTOVAR, ISTOVAR I PRIJEVOZ KOLOSIJEČNOG MATERIJALA za razdoblje do 30.09.2016.</t>
  </si>
  <si>
    <t>30.09.2016.</t>
  </si>
  <si>
    <t>POVREMENI NAJAM AUTODIZALICA NOSIVOSTI DO 120 t za VIO d.o.o. za razdoblje do 31.03.2016.</t>
  </si>
  <si>
    <t>02.10.2015.</t>
  </si>
  <si>
    <t>HM PATRIA D.O.O., OBOJ 47, 10000 ZAGREB</t>
  </si>
  <si>
    <t>POVREMENI NAJAM RADNOG STROJA GREJDERA za razdoblje do 30.03.2016.</t>
  </si>
  <si>
    <t>VODOVODNA I KANALSKA ARMATURA; GRUPA 1. Zamjenski tip Bjelovar ili jednakovrijedan za razdoblje do 31.12.2015.</t>
  </si>
  <si>
    <t>OPSKRBA PLINOM; GRUPA 1. PLIN ZA GRIJANJE ZA PODRUŽNICU ZET za razdoblje do 30.03.2016.</t>
  </si>
  <si>
    <t>CESTOGRAĐEVNI BITUMEN (70/100) za razdoblje od 45 dana</t>
  </si>
  <si>
    <t>19.11.2015.</t>
  </si>
  <si>
    <t>SREDSTVA ZA ODMAŠĆIVANJE, ČIŠĆENJE, ANTIKOROZIVNU ZAŠTITU I SKIDANJE PREMAZA; GRUPA 2. Tekučina za rashladne sustave vozila - antifriz za razdoblje do 30.04.2016.</t>
  </si>
  <si>
    <t>SREDSTVA ZA ODMAŠĆIVANJE, ČIŠĆENJE, ANTIKOROZIVNU ZAŠTITU I SKIDANJE PREMAZA; GRUPA 3. Sredstva za čišćenje i skidanje kamenca u visokotlačnim aparatima proizvođača Karcher i Wap za razdoblje do 30.04.2016.</t>
  </si>
  <si>
    <t>VIJCI, ČAVLI I SPOJNI ELEMENTI  ZA RAZDOBLJE DO 31.01.2016.</t>
  </si>
  <si>
    <t>NAJAM ZAŠTITNE RADNE ODJEĆE  ZA PODRUŽNICU ZAGREBPARKING za razdoblje do 31.05.2016.</t>
  </si>
  <si>
    <t>KROKOTEKS D.O.O., ZAGREBAČKA 60, 10380 SV.IVAN ZELINA</t>
  </si>
  <si>
    <t>DNEVNO I PERIODIČNO ČIŠĆENJE I PRANJE POSLOVNIH PROSTORA, OTVORENIH I ZATVORENIH PROSTORA SPORTSKIH OBJEKATA, JAVNIH GARAŽA I DEPONIJA MOTORNIH VOZILA  za razdoblje do 29.02.2016.</t>
  </si>
  <si>
    <t>VODOVODNA I KANALSKA ARMATURA; GRUPA 2. Zamjenski tip Vulkan ili jednakovrijedan za razdoblje do 31.12.2015.</t>
  </si>
  <si>
    <t>ISPITIVANJE OTPADNIH VODA NA KONTROLNIM MJERNIM OKNIMA za razdoblje do 30.09.2016.</t>
  </si>
  <si>
    <t>POVREMENI NAJAM SPECIJALNOG STROJA S BRZO IZMJENJIVIM PRIKLJUČCIMA (Bobcat) za razdoblje do 31.03.2016.</t>
  </si>
  <si>
    <t>06.10.2015.</t>
  </si>
  <si>
    <t>POVREMENI NAJAM SPECIJALNOG STROJA S BRZO IZMJENJIVIM PRIKLJUČCIMA (BOBCAT) do 30.04.2016.</t>
  </si>
  <si>
    <t>SANITARIJE za razdoblje do 31.01.2016.</t>
  </si>
  <si>
    <t>VODOVODNA I KANALSKA ARMATURA; GRUPA 3. Komplet sa okvirom za razdoblje do 31.12.2015.</t>
  </si>
  <si>
    <t>ODRŽAVANJE I NADOGRADNJA APLIKACIJA INFOART za razdoblje do 29.02.2016.</t>
  </si>
  <si>
    <t>19.10.2015.</t>
  </si>
  <si>
    <t>REVIZIJA GODIŠNJIH I KONSOLIDIRANIH GODIŠNJIH FINANCIJSKIH IZVJEŠĆA za 2015. godinu (razdoblje ugovora do 30.06.2016.)</t>
  </si>
  <si>
    <t>21.10.2015.</t>
  </si>
  <si>
    <t>ZIMSKA SLUŽBA GRUPA 12. PODSUSED – VRAPČE ZA PERIOD OD 01.11.2015.-31.03.2016.</t>
  </si>
  <si>
    <t>26.10.2015.</t>
  </si>
  <si>
    <t>ZIMSKA SLUŽBA GRUPA 8. SESVETE – ZAPAD za period 01.11.2015- 31.03.2016.</t>
  </si>
  <si>
    <t>23.10.2015.</t>
  </si>
  <si>
    <t>NISKOGRADNJA SESVETE D.O.O., IVANA ŠIMUNOVIĆA 19/B, 10360 SESVETE</t>
  </si>
  <si>
    <t>ZIMSKA SLUŽBA GRUPA 6. NOVI ZAGREB ZAPAD - ISTOČNI DIO za period 01.11.2015- 31.03.2016.</t>
  </si>
  <si>
    <t>ZIMSKA SLUŽBA GRUPA 4. SESVETE - SJEVEROISTOČNI DIO za period 01.11.2015- 31.03.2016.</t>
  </si>
  <si>
    <t>PMB-BAUTRANS D.O.O., VARAŽDINSKA 48, 10363 BELOVAR</t>
  </si>
  <si>
    <t>ZIMSKA SLUŽBA GRUPA 7. DONJA DUBRAVA za period 01.11.2015- 31.03.2016.</t>
  </si>
  <si>
    <t>GRADNJA i TRGOVINA - GAJ d.o.o., ČULINEČKA CESTA 181, 10000 ZAGREB</t>
  </si>
  <si>
    <t>ZIMSKA SLUŽBA GRUPA 10. NOVI ZAGREB ZAPAD – JUGOISTOČNI DIO ZA PERIOD OD 01.11.2015.-31.03.2016.</t>
  </si>
  <si>
    <t>DIJANEŽEVIĆ AUTOPRIJEVOZ I GRADNJA, VL. MIJO DIJANEŽEVIĆ, STEPANSKA 64, 10412 DONJA LOMNICA</t>
  </si>
  <si>
    <t>ZIMSKA SLUŽBA GRUPA 5. STENJEVEC ZA PERIOD OD 01.11.2015.-31.03.2016.</t>
  </si>
  <si>
    <t>BISTRA-KOP OBRT, vl. Bratislav Škrlin-Batina, BUKOVJE BISTRANSKO, M. GUPCA 11, 10298 DONJA BISTRA</t>
  </si>
  <si>
    <t>ZIMSKA SLUŽBA GRUPA 9. MAKSIMIR ZA PERIOD OD 01.11.2015.-31.03.2016.</t>
  </si>
  <si>
    <t>ZIMSKA SLUŽBA GRUPA 2. SESVETE – CENTAR za period 01.11.2015- 31.03.2016.</t>
  </si>
  <si>
    <t>ZIMSKA SLUŽBA GRUPA 1. NOVI ZAGREB ZAPAD - ZAPADNI DIO ZA PERIOD OD 01.11.2015.-31.03.2016. -</t>
  </si>
  <si>
    <t>CIJEVI PEHD, PVC I KORUGIRANE ZA RAZDOBLJE DO 31.01.2016.</t>
  </si>
  <si>
    <t>28.10.2015.</t>
  </si>
  <si>
    <t>ZIMSKA SLUŽBA GRUPA 11. GORNJA DUBRAVA ZA PERIOD OD 01.11.2015.-31.03.2016.</t>
  </si>
  <si>
    <t>GAJANT D.O.O., JELEKOVIĆI 24, 10000 ZAGREB</t>
  </si>
  <si>
    <t>ZIMSKA SLUŽBA - GRUPA 3. SESVETE - ISTOK za period 01.11.2015-31.03.2016.</t>
  </si>
  <si>
    <t>ZIMSKA SLUŽBA GRUPA 13. DETALJNO ČIŠĆENJE I ODVOZ SNIJEGA</t>
  </si>
  <si>
    <t>VODOPRIVREDA ZAGREB d.d., PETROVARADINSKA 110, 10000 ZAGREB</t>
  </si>
  <si>
    <t>ODRŽAVANJE, POPRAVAK I PRIPREMA MJERILA MASE ZA OVJERAVANJE za potrebe STNM, LOKACIJA PO TRŽNICAMA za razdoblje do 29.02.2016.</t>
  </si>
  <si>
    <t>02.11.2015.</t>
  </si>
  <si>
    <t>GRAĐEVINSKI RADOVI NA ODRŽAVANJU CESTA I ULICA GRADA ZAGREBA  - KSAVERA ŠANDORA GJALSKOG za razdoblje do 01.04.2016.</t>
  </si>
  <si>
    <t>11.11.2015.</t>
  </si>
  <si>
    <t>GRAĐEVINSKI RADOVI NA ODRŽAVANJU CESTA I ULICA GRADA ZAGREBA - ZAPOLJSKA ULICA za razdoblje do 01.04.2016.</t>
  </si>
  <si>
    <t>REDOVNO ODRŽAVANJE  DIZALA KONE MONO  SPACE I KONE ECO SPACE za razdoblje do 31.05.2016.</t>
  </si>
  <si>
    <t>16.11.2015.</t>
  </si>
  <si>
    <t>USLUGA PRINTANJA I KUVERTIRANJA ZA PODRUŽNICU ZAGREBPARKING za razdoblje do 30.06.2016.</t>
  </si>
  <si>
    <t>HITRA PRODUKCIJA DOKUMENATA D.O.O., IVEKOVIĆEVA 2, 10000 ZAGREB</t>
  </si>
  <si>
    <t>GRAĐEVINSKI RADOVI NA ODRŽAVANJU CESTA I ULICA GRADA ZAGREBA - FRA FILIPA GRABOVCA za razdoblje do 01.04.2016.</t>
  </si>
  <si>
    <t>BETONSKI PROIZVODI KAO "SAMOBORKA" za podružnicu Zagrebačke ceste ZA RAZDOBLJE DO 30.05.2016.</t>
  </si>
  <si>
    <t>15.12.2015.</t>
  </si>
  <si>
    <t>30.05.2016.</t>
  </si>
  <si>
    <t>SREDSTVA ZA ODMAŠĆIVANJE, ČIŠĆENJE, ANTIKOROZIVNU ZAŠTITU I SKIDANJE PREMAZA; GRUPA 1. Sredstva za odmašćivanje, čišćenje, antikorozivnu zaštitu, skidanje grafita, guma za žvakanje i premaza za razdoblje do 30.04.2016.</t>
  </si>
  <si>
    <t>ELEKTRODE I ŽICE ZA ZAVARIVANJE za razdoblje do 31.05.2016. godine</t>
  </si>
  <si>
    <t>BITUMENSKE EMULZIJE za razdoblje do 30.01.2016.</t>
  </si>
  <si>
    <t>17.11.2015.</t>
  </si>
  <si>
    <t>30.01.2016.</t>
  </si>
  <si>
    <t>POVREMENI NAJAM ROVOKOPAČA - UTOVARIVAČA (KOMBINIRKA) ZA RAZDOBLJE DO 31.01.2016.</t>
  </si>
  <si>
    <t>ODRŽAVANJE  FONTANA ZA GSKG d.o.o. razdoblje do 31.10.2016.</t>
  </si>
  <si>
    <t>31.10.2016.</t>
  </si>
  <si>
    <t>UKLANJANJE SNIJEGA U ZIMSKOJ SEZONI ZA PODRUŽNICU AUTOBUSNI KOLODVOR ZAGREB za razdoblje do 31.03.2016.</t>
  </si>
  <si>
    <t>23.11.2015.</t>
  </si>
  <si>
    <t>ZAGREB PLAKAT D.O.O.</t>
  </si>
  <si>
    <t>REVIZIJA GODIŠNJIH I KONSOLIDIRANIH GODIŠNJIH FINANCIJSKIH IZVJEŠĆA ZA ZAGREB PLAKAT D.O.O. za 2015. godinu (razdoblje ugovora do 30.06.2016.)</t>
  </si>
  <si>
    <t>27.11.2015.</t>
  </si>
  <si>
    <t>REVIZIJA GODIŠNJIH I KONSOLIDIRANIH GODIŠNJIH FINANCIJSKIH IZVJEŠĆA ZA 2015.g. ZA GRADSKU PLINARU ZAGREB - OPSKRBU d.o.o.</t>
  </si>
  <si>
    <t>RADOVI NA IZGRADNJI I ODRŽAVANJU KANALIZACIJSKE MREŽE GRADA ZAGREBA - IZGRADNJA JAVNIH KANALA U KOTURAŠKOJ ULICI za razdoblje do 30.06.2016 godine</t>
  </si>
  <si>
    <t>AMB GRADNJA D.O.O., PRILAZ BARUNA FILIPOVIĆA 15, 10000 ZAGREB</t>
  </si>
  <si>
    <t>ODRŽAVANJE I NADOGRADNJA INFORMACIJSKIH SUSTAVA PARKIS I PAUKIS za razdoblje do 31.01.2016.</t>
  </si>
  <si>
    <t>07.12.2015.</t>
  </si>
  <si>
    <t>NAJAM USLUGE NADZORA UPRAVLJANJA VOZNIM PARKOM (FM SUSTAV) za razdoblje do 01.07.2016.</t>
  </si>
  <si>
    <t>08.12.2015.</t>
  </si>
  <si>
    <t>01.07.2016.</t>
  </si>
  <si>
    <t>PROIZVODI OD BETONA - CESTOVNI PROGRAM ZA ZAGREBAČKE CESTE za razdoblje do 30.05.2016.</t>
  </si>
  <si>
    <t>UNIFORME ZA ZAŠTITARE-ČUVARE za razdoblje do 31.07.2016. godine</t>
  </si>
  <si>
    <t>09.12.2015.</t>
  </si>
  <si>
    <t>USLUGE PRIVREMENOG ZAPOŠLJAVANJA RADNIKA</t>
  </si>
  <si>
    <t>18.12.2015.</t>
  </si>
  <si>
    <t>TONERI I TINTE za razdoblje do 31.07.2016.</t>
  </si>
  <si>
    <t>10.12.2015.</t>
  </si>
  <si>
    <t>UKLANJANJE SNIJEGA U ZIMSKOJ SEZONI; GRUPA 2 UKLANJANJE SNIJEGA U ZIMSKOJ SEZONI ZA PODRUŽNICE GRADSKA GROBLJA, ČISTOĆA I ROBNI TERMINALI ZAGREB za razdoblje do 31.1.2016. godine</t>
  </si>
  <si>
    <t>VODOGRAD-I.G. D.O.O., TURANJSKA 38, 10000 ZAGREB</t>
  </si>
  <si>
    <t>BETON; GRUPA 1. Beton - zemljovlažni - isporuka istočni dio grada Zagreba za razdoblje do 30.05.2016.</t>
  </si>
  <si>
    <t>14.12.2015.</t>
  </si>
  <si>
    <t>KAMEN I KAMENI AGREGATI - DOLOMITNI za razdoblje do 31.03.2016.</t>
  </si>
  <si>
    <t>NAJAM OCTANORM KONSTRUKCIJE S IZVEDBOM IZLOŽBENOG PROSTORA za podružnicu Zagrebački Velesajam  ZA RAZDOBLJE DO 01.11.2016.</t>
  </si>
  <si>
    <t>01.11.2016.</t>
  </si>
  <si>
    <t>IZRADA I ODRŽAVANJE PRIVREMENIH ELEKTROINSTALACIJA ZA SAJMOVE, MANIFESTACIJE I BLAGDANE za podružnicu Zagrebački Velesajam  ZA RAZDOBLJE DO 01.11.2016.</t>
  </si>
  <si>
    <t>NAJAM USLUGE NADZORA UPRAVLJANJA VOZNIM PARKOM (FM SUSTAV) ZA RAZDOBLJE DO 01.07.2016.</t>
  </si>
  <si>
    <t>OPSKRBA ELEKTRIČNOM ENERGIJOM za AGM d.o.o. za razdoblje do 31.10.2016.</t>
  </si>
  <si>
    <t>HEP-OPSKRBA D.O.O., ULICA GRADA VUKOVARA 37, 10000 ZAGREB</t>
  </si>
  <si>
    <t>OPSKRBA ELEKTRIČNOM ENERGIJOM za GSKG d.o.o. za razdoblje do 31.10.2016.</t>
  </si>
  <si>
    <t>ODRŽAVANJE, FUNKCIONALNA NADOGRADNJA, REZERVNI DIJELOVI I OPREMA SUSTAVA ZA AUTOMATSKU NAPLATU PRIJEVOZA za podružnicu ZET za RAZDOBLJE od 1.12.2015. do 31.07.2016</t>
  </si>
  <si>
    <t>LICENCE PROGRAMSKE OPREME MICROSOFT</t>
  </si>
  <si>
    <t>01.12.2016.</t>
  </si>
  <si>
    <t>COMBIS D.O.O., BAŠTIJANOVA 52A, 10000 ZAGREB</t>
  </si>
  <si>
    <t>USLUGA PROCJENE TRŽIŠNE VRIJEDNOSTI NEKRETNINA (ZEMLJIŠTA I GRAĐEVINSKIH OBJEKATA) za razdoblje do 31.12.2015.</t>
  </si>
  <si>
    <t>VOZNE, PARKIRNE I PVC KARTICE za razdoblje do 31.07.2016.</t>
  </si>
  <si>
    <t>CESTOGRAĐEVNI BITUMEN (70/100)  za razdoblje  od 45 dana</t>
  </si>
  <si>
    <t>11.02.2016.</t>
  </si>
  <si>
    <t>POVREMENI NAJAM CESTARSKOG VOZILA S DUPLOM KABINOM NOSIVOSTI 2-4 TONE (KIPER) I KUKOM ZA PRIKOLICU  ZA RAZDOBLJE DO 30.04.2016.</t>
  </si>
  <si>
    <t>OBRADA OTPADA KB 20 01 38, DRVO KOJE NE SADRŽI OPASNE TVARI POSTUPCIMA OPORABE R1-R12 za razdoblje od 6 mj.</t>
  </si>
  <si>
    <t>22.05.2016.</t>
  </si>
  <si>
    <t>OBRADA OTPADA KB 20 01 38, DRVO KOJE NE SADRŽI OPASNE TVARI POSTUPCIMA OPORABE R1-R12  za razdoblje do 01.10.2016. godine</t>
  </si>
  <si>
    <t>29.12.2015.</t>
  </si>
  <si>
    <t>01.10.2016.</t>
  </si>
  <si>
    <t>OPSKRBA ELEKTRIČNOM ENERGIJOM ZA ZAGREBAČKI HOLDING d.o.o. za razdoblje do 31.10.2016.</t>
  </si>
  <si>
    <t>REDOVNO I IZVANREDNO ODRŽAVANJE, FUNKCIONALNA NADOGRADNJA, POPRAVAK I REZERVNI DIJELOVI SUSTAVA ZA NADZOR I UPRAVLJANJE PROMETOM PROIZVOĐAČA ATRON GmbH za razdoblje do 30.06.2016.</t>
  </si>
  <si>
    <t>23.12.2015.</t>
  </si>
  <si>
    <t>ODRŽAVANJE I NADOGRADNJA PROGRAMSKE I STROJNE OPREME INFORMACIJSKIH SUSTAVA FORTRESS I ANURPP - Preventivno, redovno održavanje i nadogradnja sustava ANURPP i SKIDATA za 2016.</t>
  </si>
  <si>
    <t>30.12.2015.</t>
  </si>
  <si>
    <t>31.12.2016.</t>
  </si>
  <si>
    <t>OPSKRBA ELEKTRIČNOM ENERGIJOM za VODOOPSKRBU I ODVODNJU d.o.o. za razdoblje do 31.10.2016.</t>
  </si>
  <si>
    <t>OPSKRBA PLINOM; GRUPA 2. PLIN ZA POGON VOZILA, ISPORUKA PUNIONICA PLINA  za razdoblje do 31.10.2016.</t>
  </si>
  <si>
    <t>TONERI I TINTE</t>
  </si>
  <si>
    <t>OPSKRBA ELEKTRIČNOM ENERGIJOM za GRADSKU PLINARU ZAGREB za razdoblje do 31.10.2016.</t>
  </si>
  <si>
    <t>Ugovor - narudžbenica (periodični predmet)</t>
  </si>
  <si>
    <t>STANDARDI - KALIBRACIJSKE KEMIKALIJE</t>
  </si>
  <si>
    <t>07.01.2015.</t>
  </si>
  <si>
    <t>20.01.2015.</t>
  </si>
  <si>
    <t>PROIZVODI OD BETONA TIP "SAMOBORKA"</t>
  </si>
  <si>
    <t>SREDSTVA ZA ODMAŠĆIVANJE, ČIŠĆENJE, ANTIKOROZIVNU ZAŠTITU I SKIDANJE PREMAZA</t>
  </si>
  <si>
    <t>METLE SIRKOVE</t>
  </si>
  <si>
    <t>REZERVNI DIJELOVI ZA KOMUNALNA VOZILA ZA ODVOZ OTPADA NADOGRADNJE FARID</t>
  </si>
  <si>
    <t>NAJLONSKE NITI ZA TRAVOKOSILICE</t>
  </si>
  <si>
    <t>STAKLENO LABORATORIJSKO SUĐE I PRIBOR</t>
  </si>
  <si>
    <t>KLINASTO I KANALNO REMENJE</t>
  </si>
  <si>
    <t>INTERPART SP D.O.O, DONJE SVETICE 40, 10000 ZAGREB</t>
  </si>
  <si>
    <t>GUMENE BRTVE I GUMENI DIJELOVI TRAMVAJA</t>
  </si>
  <si>
    <t>MAJ GUMITEHNIKA, VL. GORAN MATIJAŠIĆ, TORČEC, PODRAVSKA 3A, 48322 DRNJE</t>
  </si>
  <si>
    <t>08.01.2015.</t>
  </si>
  <si>
    <t>MREŽE, UŽAD I GURTNE</t>
  </si>
  <si>
    <t>25.01.2015.</t>
  </si>
  <si>
    <t>VIJCI I SPOJNI ELEMENTI</t>
  </si>
  <si>
    <t>REZERVNI DIJELOVI MARKE VOGELE</t>
  </si>
  <si>
    <t>IZGRADNJA I SANACIJA VODOOPSKRBNIH PRIKLJUČAKA</t>
  </si>
  <si>
    <t>OBVEZNA PERIODIČNA ISPITIVANJA SUKLADNO ZAKONU O ZAŠTITI NA RADU, ZAKONU O ZAŠTITI OD POŽARA I ZAKONU O MJERITELJSTVU</t>
  </si>
  <si>
    <t>DRVENE PLOČE I PANELI</t>
  </si>
  <si>
    <t>PRIBOR I SREDSTVA ZA PRANJE, ČIŠĆENJE, HIGIJENU I NJEGU</t>
  </si>
  <si>
    <t>AUTO GUME</t>
  </si>
  <si>
    <t>PROIZVODI OD BETONA</t>
  </si>
  <si>
    <t>GRADSKO STAMBENO KOMUNALNO GOSPODARSTVO D.O.O., ZAGREBAČKI HOLDING D.O.O.</t>
  </si>
  <si>
    <t>MATERIJALI ZA HIGIJENSKE POTREBE</t>
  </si>
  <si>
    <t>BOJE I LAKOVI</t>
  </si>
  <si>
    <t>RAZNI UREDSKI POTROŠNI MATERIJAL</t>
  </si>
  <si>
    <t>21.01.2015.</t>
  </si>
  <si>
    <t>ZVIBOR D.O.O., ZAVRTNICA 36, 10000 ZAGREB</t>
  </si>
  <si>
    <t>ODRŽAVANJE, POPRAVAK I PRIPREMA MJERILA MASE ZA OVJERAVANJE</t>
  </si>
  <si>
    <t>VAGE D.O.O., KOLEDOVČINA 2A, 10000 ZAGREB</t>
  </si>
  <si>
    <t>27.03.2015.</t>
  </si>
  <si>
    <t>IZGRADNJA I SANACIJA KANALSKIH PRIKLJUČAKA</t>
  </si>
  <si>
    <t>PROIZVODI OD ŽELJEZA I ČELIKA</t>
  </si>
  <si>
    <t>METLE BREZOVE</t>
  </si>
  <si>
    <t>REZERVNI DIJELOVI ZA BCS PROGRAM</t>
  </si>
  <si>
    <t>AGRO-HONOR D.O.O., KRALJA TOMISLAVA 82, 31300 BELI MANASTIR</t>
  </si>
  <si>
    <t>25.04.2015.</t>
  </si>
  <si>
    <t>POLIETILENSKE FOLIJE</t>
  </si>
  <si>
    <t>DRAVA INTERNATIONAL D.O.O., STJEPANA RADIĆA 15, 31000 OSIJEK</t>
  </si>
  <si>
    <t>FITINZI</t>
  </si>
  <si>
    <t>FDS-TRGOVINA D.O.O., MAJSTORSKA 1G, 10000 ZAGREB</t>
  </si>
  <si>
    <t>FAZONSKI KOMADI, ARMATURE, CIJEVI I OSTALI DIJELOVI OD NODULARNOG LIJEVA</t>
  </si>
  <si>
    <t>INSTAL-PROM D.O.O., LJUTOMERSKA 14, 10040 ZAGREB</t>
  </si>
  <si>
    <t>MJERILA ELEKTRIČNIH VELIČINA, STROJARSKI MJERNI ALATI I MANOMETRI</t>
  </si>
  <si>
    <t>10.05.2015.</t>
  </si>
  <si>
    <t>REZERVNI DIJELOVI ZA STIHL-VIKING PROGRAM</t>
  </si>
  <si>
    <t>SKEN - MONT D.O.O., GAJEVA 62, 10430 SAMOBOR</t>
  </si>
  <si>
    <t>10.06.2015.</t>
  </si>
  <si>
    <t>POŠTANSKE USLUGE</t>
  </si>
  <si>
    <t>AGM D.O.O., GRADSKA PLINARA ZAGREB OPSKRBA D.O.O., VODOOPSKRBA I ODVODNJA D.O.O., ZAGREBAČKI HOLDING D.O.O.</t>
  </si>
  <si>
    <t>REZERVNI DIJELOVI I SKLOPOVI NADOGRADNJE ČISTILICA I SPECIJALNIH VOZILA FAUN</t>
  </si>
  <si>
    <t>22.05.2015.</t>
  </si>
  <si>
    <t>KOMOP D.O.O., KOVINSKA 21, 10090 ZAGREB-SUSEDGRAD</t>
  </si>
  <si>
    <t>REZERVNI DIJELOVI POSUDA OD 120 I 240 L I KONTEJNERA OD 1100 L (METALNIH I PLASTIČNIH) ZA POVREMENO ODLAGANJE OTPADA PROIZVOĐAČA EUROPLAST</t>
  </si>
  <si>
    <t>CAPRICORNO D.O.O., HERCEGOVAČKA 57A, 21000 SPLIT</t>
  </si>
  <si>
    <t>26.05.2015.</t>
  </si>
  <si>
    <t>AGM D.O.O., GRADSKA PLINARA ZAGREB D.O.O., GRADSKA PLINARA ZAGREB OPSKRBA D.O.O., VODOOPSKRBA I ODVODNJA D.O.O., ZAGREBAČKI HOLDING D.O.O.</t>
  </si>
  <si>
    <t>01.04.2015.</t>
  </si>
  <si>
    <t>20.06.2015.</t>
  </si>
  <si>
    <t>SANITARIJE</t>
  </si>
  <si>
    <t>AGM D.O.O., GRADSKA PLINARA ZAGREB OPSKRBA D.O.O., ZAGREBAČKI HOLDING D.O.O.</t>
  </si>
  <si>
    <t>ELEKTRODE I ŽICE ZA ZAVARIVANJE</t>
  </si>
  <si>
    <t>25.06.2015.</t>
  </si>
  <si>
    <t>VODOVODNA I KANALSKA ARMATURA</t>
  </si>
  <si>
    <t>24.06.2015.</t>
  </si>
  <si>
    <t>26.06.2015.</t>
  </si>
  <si>
    <t>08.06.2015.</t>
  </si>
  <si>
    <t>16.06.2015.</t>
  </si>
  <si>
    <t>17.06.2015.</t>
  </si>
  <si>
    <t>23.06.2015.</t>
  </si>
  <si>
    <t>01.03.2015.</t>
  </si>
  <si>
    <t>GRADSKA PLINARA ZAGREB D.O.O., GRADSKA PLINARA ZAGREB OPSKRBA D.O.O., ZAGREBAČKI HOLDING D.O.O.</t>
  </si>
  <si>
    <t>29.06.2015.</t>
  </si>
  <si>
    <t>VATROGASNI APARATI I PROTUPOŽARNA OPREMA</t>
  </si>
  <si>
    <t>ZAŠTITA I SIGURNOST D.O.O., GOSPODSKA 14, 10000 ZAGREB</t>
  </si>
  <si>
    <t>09.07.2015.</t>
  </si>
  <si>
    <t>25.07.2015.</t>
  </si>
  <si>
    <t>BRAVARSKI MATERIJALI</t>
  </si>
  <si>
    <t>05.08.2015.</t>
  </si>
  <si>
    <t>01.08.2015.</t>
  </si>
  <si>
    <t>15.08.2015.</t>
  </si>
  <si>
    <t>17.08.2015.</t>
  </si>
  <si>
    <t>AQUA - PROMET d.o.o., MIRAMARSKA 34, 10000 ZAGREB</t>
  </si>
  <si>
    <t>ODRŽAVANJE I NADOGRADNJA INTERNET PREZENTACIJA PODRUŽNICA I OVISNIH DRUŠTAVA ZAGREBAČKOG HOLDINGA D.O.O.</t>
  </si>
  <si>
    <t>OSOBNA ZAŠTITNA SREDSTVA</t>
  </si>
  <si>
    <t>BAKAR I PROIZVODI OD BAKRA</t>
  </si>
  <si>
    <t>05.09.2015.</t>
  </si>
  <si>
    <t>AKUMULATORI I PRIBOR</t>
  </si>
  <si>
    <t>15.09.2015.</t>
  </si>
  <si>
    <t>RUČNI ALATI ZA POLJOPRIVREDU I HORTIKULTURU</t>
  </si>
  <si>
    <t>21.08.2015.</t>
  </si>
  <si>
    <t>PASTOR - TVA - D.D., RAKITJE, NOVAČKA 2, 10437 BESTOVJE</t>
  </si>
  <si>
    <t>24.08.2015.</t>
  </si>
  <si>
    <t>26.08.2015.</t>
  </si>
  <si>
    <t>Zaprimljeno je više od naručenog</t>
  </si>
  <si>
    <t>BOJE I RAZRJEĐIVAČI ZA IZRADU TANKOSLOJNE HORIZONTALNE SIGNALIZACIJE</t>
  </si>
  <si>
    <t>TEHNIČKI PLINOVI</t>
  </si>
  <si>
    <t>20.09.2015.</t>
  </si>
  <si>
    <t>ANDEL D.O.O., MAJSTORSKA 1/G, 10000 ZAGREB</t>
  </si>
  <si>
    <t>BETONSKA GALANTERIJA</t>
  </si>
  <si>
    <t>29.08.2015.</t>
  </si>
  <si>
    <t>TEHNOPLAM D.O.O., USKOČKA 29, 10000 ZAGREB</t>
  </si>
  <si>
    <t>OPSKRBA PLINOM</t>
  </si>
  <si>
    <t>06.09.2015.</t>
  </si>
  <si>
    <t>REZERVNI DIJELOVI, POPRAVAK I SERVIS STROJEVA MARKE WIRTGEN</t>
  </si>
  <si>
    <t>07.09.2015.</t>
  </si>
  <si>
    <t>POPRAVAK I REZERVNI DIJELOVI KLIMA UREĐAJA TMK 301</t>
  </si>
  <si>
    <t>TERMOBIL THERMO KING D.O.O., PERMANI 21/B, 51213 JURDANI</t>
  </si>
  <si>
    <t>HRANA I PIĆE ZA VLASTITE POTREBE</t>
  </si>
  <si>
    <t>AGRO - VIR d.o.o., SLAVONSKA AVENIJA 7, 10000 ZAGREB</t>
  </si>
  <si>
    <t>10.10.2015.</t>
  </si>
  <si>
    <t>20.10.2015.</t>
  </si>
  <si>
    <t>STOLARSKI RADOVI I POSTAVLJANJE STOLARIJE</t>
  </si>
  <si>
    <t>DOMEL D.O.O., AVENIJA DUBROVNIK 15, 10020 ZAGREB</t>
  </si>
  <si>
    <t>15.10.2015.</t>
  </si>
  <si>
    <t>ODRŽAVANJE APLIKATIVNOG SUSTAVA "SEKOM"</t>
  </si>
  <si>
    <t>SEKOM D.O.O., PRIMORSKA 15, 10000 ZAGREB</t>
  </si>
  <si>
    <t>25.10.2015.</t>
  </si>
  <si>
    <t>ODRŽAVANJE I NADOGRADNJA APLIKATIVNIH PODSUSTAVA "BRAVO" I "DOVID"</t>
  </si>
  <si>
    <t>EURO - TERA RAČUNALA D.O.O., HARAMBAŠIĆEVA 47, 10000 ZAGREB</t>
  </si>
  <si>
    <t>11.10.2015.</t>
  </si>
  <si>
    <t>30.10.2015.</t>
  </si>
  <si>
    <t>05.11.2015.</t>
  </si>
  <si>
    <t>REZERVNI DIJELOVI I POPRAVAK VIBRONABIJAČA DYNAPAC</t>
  </si>
  <si>
    <t>POTROŠNI MATERIJAL ZA NJEGU VOZILA (SPUŽVE, STRUGAČ LEDA I SL.)</t>
  </si>
  <si>
    <t>C.I.A.K. D.O.O., STUPNIČKE ŠIPKOVINE 1, 10255 DONJI STUPNIK</t>
  </si>
  <si>
    <t>SANACIJA JAVNIH STUBA, PJEŠAČKIH PROLAZA I PLATOA</t>
  </si>
  <si>
    <t>13.10.2015.</t>
  </si>
  <si>
    <t>10.11.2015.</t>
  </si>
  <si>
    <t>15.11.2015.</t>
  </si>
  <si>
    <t>09.11.2015.</t>
  </si>
  <si>
    <t>22.10.2015.</t>
  </si>
  <si>
    <t>IMPREGNIRANI I NEIMPREGNIRANI  KOLCI ZA KOLANJE DRVEĆA</t>
  </si>
  <si>
    <t>20.11.2015.</t>
  </si>
  <si>
    <t>27.10.2015.</t>
  </si>
  <si>
    <t>25.11.2015.</t>
  </si>
  <si>
    <t>REZERVNI DIJELOVI I ZAMJENSKE SPRAVE ZA DJEČJA IGRALIŠTA PROIZVOĐAČA "USLUGA"</t>
  </si>
  <si>
    <t>03.11.2015.</t>
  </si>
  <si>
    <t>TEHMAR D.O.O., STAJNIČKA 5, 10251 HRVATSKI LESKOVAC</t>
  </si>
  <si>
    <t>06.11.2015.</t>
  </si>
  <si>
    <t>05.12.2015.</t>
  </si>
  <si>
    <t>12.11.2015.</t>
  </si>
  <si>
    <t>13.11.2015.</t>
  </si>
  <si>
    <t>CMC EKOCON D.O.O., SV. IVAN 3/2, 52420 BUZET</t>
  </si>
  <si>
    <t>VENTILI</t>
  </si>
  <si>
    <t>26.11.2015.</t>
  </si>
  <si>
    <t>20.12.2015.</t>
  </si>
  <si>
    <t>21.12.2015.</t>
  </si>
  <si>
    <t>AGM D.O.O., GRADSKA PLINARA ZAGREB OPSKRBA D.O.O., GRADSKO STAMBENO KOMUNALNO GOSPODARSTVO D.O.O., ZAGREBAČKI HOLDING D.O.O.</t>
  </si>
  <si>
    <t>02.12.2015.</t>
  </si>
  <si>
    <t>25.12.2015.</t>
  </si>
  <si>
    <t>03.12.2015.</t>
  </si>
  <si>
    <t>04.12.2015.</t>
  </si>
  <si>
    <t>24.12.2015.</t>
  </si>
  <si>
    <t>15.01.2016.</t>
  </si>
  <si>
    <t>10.01.2016.</t>
  </si>
  <si>
    <t>16.12.2015.</t>
  </si>
  <si>
    <t>05.01.2016.</t>
  </si>
  <si>
    <t>20.01.2016.</t>
  </si>
  <si>
    <t>01.02.2016.</t>
  </si>
  <si>
    <t>05.02.2016.</t>
  </si>
  <si>
    <t>20.02.2016.</t>
  </si>
  <si>
    <t>22.01.2016.</t>
  </si>
  <si>
    <t>Ugovor o javnoj nabavi</t>
  </si>
  <si>
    <t>AGM D.O.O., GRADSKO STAMBENO KOMUNALNO GOSPODARSTVO D.O.O., VODOOPSKRBA I ODVODNJA D.O.O., ZAGREBAČKI HOLDING D.O.O.</t>
  </si>
  <si>
    <t>USLUGE PRIVATNE ZAŠTITE</t>
  </si>
  <si>
    <t>Temeljem čl. 44 Zakona o javnoj nabavi</t>
  </si>
  <si>
    <t>SOKOL MARIĆ d.o.o., TRG MARŠALA TITA 8/II, 10000 ZAGREB</t>
  </si>
  <si>
    <t>IZGRADNJA VODOOPSKRBNE MREŽE U NASELJU LEŠĆE - OTRUŠEVEC (SAMOBOR)</t>
  </si>
  <si>
    <t>04.02.2015.</t>
  </si>
  <si>
    <t>04.02.2016.</t>
  </si>
  <si>
    <t>UTOVARIVAČ</t>
  </si>
  <si>
    <t>OPREMA ZA LABORATORIJ ASFALTNE BAZE</t>
  </si>
  <si>
    <t>18.05.2016.</t>
  </si>
  <si>
    <t>KRATKOROČNI KUNSKI REVOLVING KREDIT S MOGUĆNOŠĆU PRODUŽENJA; Grupa 4: KRATKOROČNI KUNSKI REVOLVING KREDIT OD 200 MILIONA KUNA S MOGUĆNOŠĆU PRODUŽENJA</t>
  </si>
  <si>
    <t>ZAGREBAČKA BANKA D.D., TRG BANA JOSIPA JELAČIĆA 10, 10000 ZAGREB</t>
  </si>
  <si>
    <t>REKONSTRUKCIJA JAVNIH KANALA U LOVINČIĆEVOJ ULICI</t>
  </si>
  <si>
    <t>09.01.2016.</t>
  </si>
  <si>
    <t>TELEMETRIJSKI HIDRANTI ZA DALJINSKI NADZOR TLAKA U DMA ZONAMA S UGRADNJOM</t>
  </si>
  <si>
    <t>17.03.2015.</t>
  </si>
  <si>
    <t>17.03.2016.</t>
  </si>
  <si>
    <t>EDC D.O.O., ANTUNA ŠTRBANA 18, 10000 ZAGREB</t>
  </si>
  <si>
    <t>IZRADA PROJEKTNE DOKUMENTACIJE ZA REKONSTRUKCIJE KOTLOVNICA U PODRUŽNICI ZRINJEVAC</t>
  </si>
  <si>
    <t>23.03.2016.</t>
  </si>
  <si>
    <t>ENERKON D.O.O., TRNJANSKA 37, 10000 ZAGREB</t>
  </si>
  <si>
    <t>IZGRADNJA BETONSKIH GROBNICA I GROBNIH OKVIRA</t>
  </si>
  <si>
    <t>19.03.2016.</t>
  </si>
  <si>
    <t>CENTAR ZA GRAĐEVINARSTVO D.O.O., PETROVA 53/1, 10000 ZAGREB</t>
  </si>
  <si>
    <t>KRATKOROČNI KUNSKI REVOLVING KREDIT ZA GRADSKU PLINARU ZAGREB - OPSKRBA d.o.o.</t>
  </si>
  <si>
    <t>PRIVREDNA BANKA ZAGREB D.D., RADNIČKA CESTA 50, 10000 ZAGREB</t>
  </si>
  <si>
    <t>IZGRADNJA JAVNOG KANALA U ULICI VIDA ROČIĆA</t>
  </si>
  <si>
    <t>03.03.2015.</t>
  </si>
  <si>
    <t>03.03.2016.</t>
  </si>
  <si>
    <t>RADOVI NA POPRAVKU TRAMVAJSKIH PRUGA U AVENIJI DUBROVNIK OD TRNSKOG DO SOPOTA</t>
  </si>
  <si>
    <t>07.11.2015.</t>
  </si>
  <si>
    <t>OBRADA OTPADA KB 20 03 07, GLOMAZNI OTPAD POSTUPCIMA OPORABE R1-R12</t>
  </si>
  <si>
    <t>08.05.2016.</t>
  </si>
  <si>
    <t>OBRADA OTPADA KB 20 03 03, OSTACI OD ČIŠĆENJA ULICA POSTUPCIMA OPORABE R1-R12</t>
  </si>
  <si>
    <t>13.07.2016.</t>
  </si>
  <si>
    <t>OBRADA OTPADA KB 20 02 03, OSTALI OTPAD KOJI NIJE BIORAZGRADIV POSTUPCIMA OPORABE R1-R12</t>
  </si>
  <si>
    <t>TRAČNICE ZA TRAMVAJSKE PRUGE</t>
  </si>
  <si>
    <t>25.05.2016.</t>
  </si>
  <si>
    <t>PUNIONICE ZA ELEKTRO VOZILA U JAVNIM GARAŽAMA</t>
  </si>
  <si>
    <t>23.04.2016.</t>
  </si>
  <si>
    <t>FIBERNET D.O.O., KOVINSKA 20, 10000 ZAGREB</t>
  </si>
  <si>
    <t>KANTE I POSUDE ZA OTPAD: GRUPA 1. KANTE I POSUDE ZA OTPAD OD 120 I 80 LITARA</t>
  </si>
  <si>
    <t>09.09.2016.</t>
  </si>
  <si>
    <t>POPRAVAK SPECIJALNOG VOZILA UNIMOG U300, ZG-6694-DB</t>
  </si>
  <si>
    <t>14.05.2016.</t>
  </si>
  <si>
    <t>REKONSTRUKCIJA VODOOPSKRBNOG CJEVOVODA U LOVINČIĆEVOJ ULICI I IZGRADNJA NOVOG CJEVOVODA U „PRODUŽENOJ IVEKOVIĆEVOJ" I „NOVOJ ULICI 1"</t>
  </si>
  <si>
    <t>10.06.2016.</t>
  </si>
  <si>
    <t>RADOVI NA ODRŽAVANJU TRAMVAJSKE PRUGE U VLAŠKOJ ULICI OD DRAŠKOVIĆEVE ULICE DO BAUEROVE ULICE</t>
  </si>
  <si>
    <t>16.07.2016.</t>
  </si>
  <si>
    <t>SITOLOR D. O. O., PAVLA RADIĆA 12, 35000 SLAVONSKI BROD</t>
  </si>
  <si>
    <t>NADOGRADNJA POSLOVNOG SUSTAVA LAUS ZA PRIJELAZ NA ARGOSY</t>
  </si>
  <si>
    <t>09.06.2016.</t>
  </si>
  <si>
    <t>SANACIJA PROMETNICA I DRUGIH JAVNIH POVRŠINA KOD IZGRADNJE I SANACIJE MREŽE I OBJEKATA VODOOPSKRBE I ODVODNJE</t>
  </si>
  <si>
    <t>Pregovarački postupak javne nabave bez prethodne objave</t>
  </si>
  <si>
    <t>10.08.2016.</t>
  </si>
  <si>
    <t>ZAGREBAČKI HOLDING D.O.O., PODRUŽNICA ZAGREBAČKE CESTE, DONJE SVETICE 48, 10000 ZAGREB</t>
  </si>
  <si>
    <t>RADOVI NA ODRŽAVANJU TRAMVAJSKE PRUGE NA RASKRIŽJU FRANKOPANSKE I ILICE, TE U FRANKOPANSKOJ ULICI OD ILICE DO PRILAZA DJURE DEŽELIĆA</t>
  </si>
  <si>
    <t>03.08.2016.</t>
  </si>
  <si>
    <t>IZGRADNJA KANALIZACIJSKE MREŽE U ULICAMA VINKA SEDINIĆA, JOSIPA ANTOLJAKA I IČIČKOJ ULICI (DUMOVEC)</t>
  </si>
  <si>
    <t>29.09.2016.</t>
  </si>
  <si>
    <t>BUBANJ - NISKOGRADNJA D.O.O., KRUGE 7, 10000 ZAGREB</t>
  </si>
  <si>
    <t>IZGRADNJA VODOOPSKRBNE MREŽE U UL. SIRKOVINA - GORNJI DRAGONOŽEC</t>
  </si>
  <si>
    <t>24.08.2016.</t>
  </si>
  <si>
    <t>IZGRADNJA VODOOPSKRBNE MREŽE U UL. MARKULINSKA DRAGA - DONJI DRAGONOŽEC</t>
  </si>
  <si>
    <t>18.08.2016.</t>
  </si>
  <si>
    <t>IZGRADNJA SABIRNOG KANALA JEŽDOVEC</t>
  </si>
  <si>
    <t>07.10.2016.</t>
  </si>
  <si>
    <t>IZGRADNJA KANALIZACIJSKE MREŽE U ULICAMA BREG I KLANJEC (ĐURĐEKOVEC)</t>
  </si>
  <si>
    <t>16.11.2016.</t>
  </si>
  <si>
    <t>TEMEX D.O.O., JANUŠEVEČKA 11, 10000 ZAGREB</t>
  </si>
  <si>
    <t>IZGRADNJA CRPNE STANICE SAVICA</t>
  </si>
  <si>
    <t>22.09.2016.</t>
  </si>
  <si>
    <t>IZGRADNJA PRECRPNE STANICE PREKVRŠJE - ĐURE KUNTIĆA</t>
  </si>
  <si>
    <t>14.09.2016.</t>
  </si>
  <si>
    <t>IZRADA IDEJNOG, GLAVNOG I IZVEDBENOG PROJEKTA ODVODNJE GRUPE ULICA U DUBRAVI (LELIJSKA, LJUBUŠKA, VRANPLANINSKA S ODVOJCIMA, SUNEKOV ODVOJAK I ODVOJCI CELOVEČKE)</t>
  </si>
  <si>
    <t>MAŠINOPROJEKT D.O.O., BRAĆE DOMANY 8, 10000 ZAGREB</t>
  </si>
  <si>
    <t>IZRADA IDEJNOG, GLAVNOG I IZVEDBENOG PROJEKTA REKONSTRUKCIJE JAVNIH KANALA U JUŽNOJ ULICI S ODVOJCIMA</t>
  </si>
  <si>
    <t>IZRADA IDEJNOG, GLAVNOG I IZVEDBENOG PROJEKTA KANALIZACIJSKE MREŽE NASELJA LUČKO I JEŽDOVEC - NASTAVAK</t>
  </si>
  <si>
    <t>15.09.2016.</t>
  </si>
  <si>
    <t>IZRADA IDEJNOG, GLAVNOG I IZVEDBENOG PROJEKTA ZA REKONSTRUKCIJU DIJELA TRANSPORTNOG KOLEKTORA TK III UZ POTOK LOMNICA</t>
  </si>
  <si>
    <t>28.09.2016.</t>
  </si>
  <si>
    <t>IZRADA PROJEKTNE DOKUMENTACIJE (IDEJNIH I GLAVNIH PROJEKATA) ZA REKONSTRUKCIJU I IZGRADNJU SUSTAVA ODVODNJE NA PODRUČJU AGLOMERACIJE ZAGREB - KANALIZACIJSKA MREŽA ISTOČNOG PODRUČJA GRADSKE ČETVRTI SESVETE (SLIV POTOKA ČRNEC); PROŠIRENJE KANALIZACIJSKE MREŽE U NASELJU MIKULIĆI, FRATERŠČICA, LUKŠIĆ I BIJENIK; IZGRADNJA KOLEKTORA II. PARALELA; I AGLOMERACIJE GLAVNIČICA (SJEVEROISTOČNI DIO GRADSKE ČETVRTI SESVETE) TE IZRADA NATJEČAJNE DOKUMENTACIJE ZA NABAVU RADOVA</t>
  </si>
  <si>
    <t>INSTITUT IGH D.D., JANKA RAKUŠE 1, 10000 ZAGREB</t>
  </si>
  <si>
    <t>CEMENTNA STABILIZACIJA</t>
  </si>
  <si>
    <t>29.07.2016.</t>
  </si>
  <si>
    <t>TBG-STRABAG D.O.O., ULICA PETRA HEKTOROVIĆA 2, 10000 ZAGREB</t>
  </si>
  <si>
    <t>UREĐAJ ZA AUTOMATSKO UPRAVLJANJE SKRETNICOM WS 90E</t>
  </si>
  <si>
    <t>28.07.2016.</t>
  </si>
  <si>
    <t>SUNCOBRANI I REZERVNI DIJELOVI SUNCOBRANA</t>
  </si>
  <si>
    <t>25.08.2016.</t>
  </si>
  <si>
    <t>VIS PROMOTEX D.O.O., ADOLFA WISSERTA 3/A, 42000 VARAŽDIN</t>
  </si>
  <si>
    <t>PREUZIMANJE I DALJNJA OPORABA OTPADA KB 20 01 39, PLASTIKA</t>
  </si>
  <si>
    <t>HORTIKULTURNI RADOVI NA KUĆAMA - LJETNIKOVCIMA NA OTOKU ŠIPANU, K.O. LUKA ŠIPANSKA I NA POSJEDU KATINO</t>
  </si>
  <si>
    <t>02.09.2016.</t>
  </si>
  <si>
    <t>GROTEL, D.O.O. PUTNIČKA AGENCIJA, BULET 114, 20235 ZATON VELIKI</t>
  </si>
  <si>
    <t>SPECIJALNA VOZILA - PAUK</t>
  </si>
  <si>
    <t>21.09.2016.</t>
  </si>
  <si>
    <t>INDUSTRIJSKA, SEKCIJSKA, ROLO I GARAŽNA VRATA S UGRADNJOM</t>
  </si>
  <si>
    <t>21.12.2016.</t>
  </si>
  <si>
    <t>EUROMONT INTRO D.O.O., KANALSKI PUT 20, 10000 ZAGREB</t>
  </si>
  <si>
    <t>SLUŽBENA ODJEĆA PODRUŽNICE ZET - ZIMSKA</t>
  </si>
  <si>
    <t>22.12.2016.</t>
  </si>
  <si>
    <t>MOBILNA RECIKLAŽNA DVORIŠTA</t>
  </si>
  <si>
    <t>26.11.2016.</t>
  </si>
  <si>
    <t>TEHNIX D.O.O., BRAĆE RADIĆA bb, 40320 DONJI KRALJEVEC</t>
  </si>
  <si>
    <t>IZRADA PROJEKTA OPERATIVNOG RESTRUKTURIRANJA ZAGREBAČKOG HOLDINGA d.o.o.</t>
  </si>
  <si>
    <t>26.05.2016.</t>
  </si>
  <si>
    <t>DELOITTE SAVJETODAVNE USLUGE D.O.O., RADNIČKA CESTA 80, 10000 ZAGREB</t>
  </si>
  <si>
    <t>ZAŠTITNA OBUĆA</t>
  </si>
  <si>
    <t>29.10.2016.</t>
  </si>
  <si>
    <t>RADOVI NA ZAVRŠETKU IZGRADNJE OSNOVNE ŠKOLE, DVORANE I BAZENA SESVETSKI KRALJEVEC - DODATNI RADOVI PO OSNOVNOM UGOVORU N-95/13</t>
  </si>
  <si>
    <t>18.09.2016.</t>
  </si>
  <si>
    <t>ZAGREBGRADNJA D.O.O., V RAVNICE 6, 10000 ZAGREB</t>
  </si>
  <si>
    <t>UTVRĐIVANJE I AŽURIRANJE OBVEZNIKA/OBJEKATA ZA OBRAČUN USLUGE PRIKUPLJANJA MJEŠANOG KOMUNALNOG OTPADA TEMELJEM PODATAKA KORIŠTENIH U POSTUPCIMA LEGALIZACIJE</t>
  </si>
  <si>
    <t>GRADSKO STAMBENO KOMUNALNO GOSPODARSTVO D.O.O., SAVSKA CESTA 1, 10000 ZAGREB</t>
  </si>
  <si>
    <t>IZVOĐENJE RADOVA NA IZGRADNJI OBJEKTA SRC SVETICE - DODATNI RADOVI PO OSNOVNOM UGOVORU N-128/13</t>
  </si>
  <si>
    <t>06.01.2016.</t>
  </si>
  <si>
    <t>ZAGREB-MONTAŽA D.O.O., ROBERTA FRANGEŠA MIHANOVIĆA 9, 10000 ZAGREB</t>
  </si>
  <si>
    <t>KANTE I POSUDE ZA OTPAD: GRUPA 2. PRIMARNI SPREMNICI ZA PLASTIČAN OTPAD IZ UREDSKIH PROSTORA</t>
  </si>
  <si>
    <t>KANTE I POSUDE ZA OTPAD: GRUPA 3. POKRETNI SPREMNIK ZA SAKUPLJANJE KOMUNALNOG OTPADA</t>
  </si>
  <si>
    <t>2016/S 003-0000629</t>
  </si>
  <si>
    <t>2016/S 003-0000545</t>
  </si>
  <si>
    <t>2015/S 003-0039021</t>
  </si>
  <si>
    <t>2015/S 003-0038833</t>
  </si>
  <si>
    <t>2015/S 003-0038812</t>
  </si>
  <si>
    <t>2016/S 003-0001318</t>
  </si>
  <si>
    <t>2016/S 003-0001322</t>
  </si>
  <si>
    <t>2016/S 003-0000356</t>
  </si>
  <si>
    <t>2015/S 002-0025302</t>
  </si>
  <si>
    <t>2015/S 002-0033984</t>
  </si>
  <si>
    <t>2014/S 002-0060261</t>
  </si>
  <si>
    <t>2015/S 003-0005885</t>
  </si>
  <si>
    <t>2015/S 003-0002940</t>
  </si>
  <si>
    <t>2015/S 003-0021061</t>
  </si>
  <si>
    <t>2015/S 003-0007126</t>
  </si>
  <si>
    <t>2015/S 003-0001357</t>
  </si>
  <si>
    <t>2015/S 003-0012837</t>
  </si>
  <si>
    <t>2015/S 003-0013392</t>
  </si>
  <si>
    <t>2015/S 003-0012850</t>
  </si>
  <si>
    <t>2016/S 003-0000188</t>
  </si>
  <si>
    <t>2015/S 003-0039393</t>
  </si>
  <si>
    <t>2015/S 003-0037476</t>
  </si>
  <si>
    <t>2015/S 003-0039074</t>
  </si>
  <si>
    <t>2015/S 003-0036357</t>
  </si>
  <si>
    <t>NEMA UNOSA</t>
  </si>
  <si>
    <t>2014-47</t>
  </si>
  <si>
    <t>RASKID UGOVORA DNEVNO I PERIODIČNO ČIŠĆENJE I PRANJE POSLOVNIH PROSTORA GRADSKE PLINARE ZAGREB D.O.O. za razdoblje do 29.02.2016.</t>
  </si>
  <si>
    <t>27.1.2016.</t>
  </si>
  <si>
    <t>2015/S 003-0031569</t>
  </si>
  <si>
    <t>2015/S 003-0036369</t>
  </si>
  <si>
    <t>23.02.2016.</t>
  </si>
  <si>
    <r>
      <t xml:space="preserve">REGISTAR UGOVORA I OKVIRNIH SPORAZUMA  </t>
    </r>
    <r>
      <rPr>
        <sz val="12"/>
        <color rgb="FF000000"/>
        <rFont val="Times New Roman"/>
        <family val="1"/>
        <charset val="238"/>
      </rPr>
      <t xml:space="preserve">zaključenih u razdoblju od </t>
    </r>
    <r>
      <rPr>
        <b/>
        <sz val="12"/>
        <color rgb="FF000000"/>
        <rFont val="Times New Roman"/>
        <family val="1"/>
        <charset val="238"/>
      </rPr>
      <t>01.01.2015.</t>
    </r>
    <r>
      <rPr>
        <sz val="12"/>
        <color rgb="FF000000"/>
        <rFont val="Times New Roman"/>
        <family val="1"/>
        <charset val="238"/>
      </rPr>
      <t xml:space="preserve"> do </t>
    </r>
    <r>
      <rPr>
        <b/>
        <sz val="12"/>
        <color rgb="FF000000"/>
        <rFont val="Times New Roman"/>
        <family val="1"/>
        <charset val="238"/>
      </rPr>
      <t>31.12.2015.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</si>
</sst>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6"/>
      <name val="Times New Roman"/>
      <family val="1"/>
      <charset val="238"/>
    </font>
    <font>
      <sz val="12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19" fillId="33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8" fillId="34" borderId="11" xfId="0" applyFont="1" applyFill="1" applyBorder="1" applyAlignment="1">
      <alignment vertical="center" wrapText="1"/>
    </xf>
    <xf numFmtId="0" fontId="18" fillId="34" borderId="12" xfId="0" applyFont="1" applyFill="1" applyBorder="1" applyAlignment="1">
      <alignment vertical="center" wrapText="1"/>
    </xf>
    <xf numFmtId="0" fontId="18" fillId="34" borderId="13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8" fillId="35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35" borderId="0" xfId="0" applyFill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" fontId="21" fillId="35" borderId="10" xfId="0" applyNumberFormat="1" applyFont="1" applyFill="1" applyBorder="1" applyAlignment="1">
      <alignment horizontal="right" vertical="center" wrapText="1"/>
    </xf>
    <xf numFmtId="0" fontId="18" fillId="35" borderId="11" xfId="0" applyFont="1" applyFill="1" applyBorder="1" applyAlignment="1">
      <alignment vertical="center" wrapText="1"/>
    </xf>
    <xf numFmtId="0" fontId="18" fillId="35" borderId="13" xfId="0" applyFont="1" applyFill="1" applyBorder="1" applyAlignment="1">
      <alignment vertical="center" wrapText="1"/>
    </xf>
    <xf numFmtId="0" fontId="18" fillId="35" borderId="1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0" fillId="35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 wrapText="1"/>
    </xf>
    <xf numFmtId="0" fontId="18" fillId="34" borderId="11" xfId="0" applyFont="1" applyFill="1" applyBorder="1" applyAlignment="1">
      <alignment vertical="center" wrapText="1"/>
    </xf>
    <xf numFmtId="0" fontId="18" fillId="34" borderId="13" xfId="0" applyFont="1" applyFill="1" applyBorder="1" applyAlignment="1">
      <alignment vertical="center" wrapText="1"/>
    </xf>
    <xf numFmtId="0" fontId="18" fillId="34" borderId="11" xfId="0" applyFont="1" applyFill="1" applyBorder="1" applyAlignment="1">
      <alignment horizontal="right" vertical="center" wrapText="1"/>
    </xf>
    <xf numFmtId="0" fontId="18" fillId="34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35" borderId="11" xfId="0" applyFont="1" applyFill="1" applyBorder="1" applyAlignment="1">
      <alignment horizontal="right" vertical="center" wrapText="1"/>
    </xf>
    <xf numFmtId="0" fontId="18" fillId="35" borderId="13" xfId="0" applyFont="1" applyFill="1" applyBorder="1" applyAlignment="1">
      <alignment horizontal="right" vertical="center" wrapText="1"/>
    </xf>
    <xf numFmtId="0" fontId="18" fillId="35" borderId="11" xfId="0" applyFont="1" applyFill="1" applyBorder="1" applyAlignment="1">
      <alignment vertical="center" wrapText="1"/>
    </xf>
    <xf numFmtId="0" fontId="18" fillId="35" borderId="13" xfId="0" applyFont="1" applyFill="1" applyBorder="1" applyAlignment="1">
      <alignment vertical="center" wrapText="1"/>
    </xf>
    <xf numFmtId="0" fontId="18" fillId="35" borderId="12" xfId="0" applyFont="1" applyFill="1" applyBorder="1" applyAlignment="1">
      <alignment horizontal="right" vertical="center" wrapText="1"/>
    </xf>
    <xf numFmtId="0" fontId="18" fillId="35" borderId="12" xfId="0" applyFont="1" applyFill="1" applyBorder="1" applyAlignment="1">
      <alignment vertical="center" wrapText="1"/>
    </xf>
    <xf numFmtId="0" fontId="18" fillId="34" borderId="12" xfId="0" applyFont="1" applyFill="1" applyBorder="1" applyAlignment="1">
      <alignment vertical="center" wrapText="1"/>
    </xf>
    <xf numFmtId="0" fontId="18" fillId="34" borderId="12" xfId="0" applyFont="1" applyFill="1" applyBorder="1" applyAlignment="1">
      <alignment horizontal="right" vertical="center" wrapText="1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799"/>
  <sheetViews>
    <sheetView showGridLines="0" tabSelected="1" topLeftCell="A187" zoomScale="70" zoomScaleNormal="70" workbookViewId="0">
      <selection activeCell="E197" sqref="E197:E200"/>
    </sheetView>
  </sheetViews>
  <sheetFormatPr defaultRowHeight="15" x14ac:dyDescent="0.25"/>
  <cols>
    <col min="1" max="1" width="16.85546875" style="5" customWidth="1"/>
    <col min="2" max="2" width="6.140625" style="5" customWidth="1"/>
    <col min="3" max="3" width="22.85546875" style="5" customWidth="1"/>
    <col min="4" max="4" width="39.28515625" style="5" customWidth="1"/>
    <col min="5" max="5" width="27.7109375" style="5" customWidth="1"/>
    <col min="6" max="6" width="36.5703125" style="5" bestFit="1" customWidth="1"/>
    <col min="7" max="7" width="24.7109375" style="5" bestFit="1" customWidth="1"/>
    <col min="8" max="8" width="15.28515625" style="5" customWidth="1"/>
    <col min="9" max="9" width="28" style="5" customWidth="1"/>
    <col min="10" max="10" width="16.5703125" style="5" customWidth="1"/>
    <col min="11" max="11" width="18.140625" style="5" customWidth="1"/>
    <col min="12" max="12" width="16.7109375" style="5" customWidth="1"/>
    <col min="13" max="13" width="36.5703125" style="5" bestFit="1" customWidth="1"/>
    <col min="14" max="14" width="14.7109375" style="5" customWidth="1"/>
    <col min="15" max="15" width="16.5703125" style="5" customWidth="1"/>
    <col min="16" max="16" width="18" style="5" customWidth="1"/>
    <col min="17" max="16384" width="9.140625" style="5"/>
  </cols>
  <sheetData>
    <row r="1" spans="2:16" ht="15.75" x14ac:dyDescent="0.25">
      <c r="B1" s="9" t="s">
        <v>0</v>
      </c>
    </row>
    <row r="3" spans="2:16" ht="15.75" x14ac:dyDescent="0.25">
      <c r="B3" s="10" t="s">
        <v>1568</v>
      </c>
    </row>
    <row r="5" spans="2:16" ht="91.5" customHeight="1" x14ac:dyDescent="0.25">
      <c r="B5" s="11" t="s">
        <v>1</v>
      </c>
      <c r="C5" s="1" t="s">
        <v>2</v>
      </c>
      <c r="D5" s="1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</row>
    <row r="6" spans="2:16" ht="78.75" x14ac:dyDescent="0.25">
      <c r="B6" s="2">
        <v>1</v>
      </c>
      <c r="C6" s="2" t="str">
        <f>"NOS-105/14"</f>
        <v>NOS-105/14</v>
      </c>
      <c r="D6" s="2" t="s">
        <v>16</v>
      </c>
      <c r="E6" s="2" t="s">
        <v>17</v>
      </c>
      <c r="F6" s="2" t="s">
        <v>18</v>
      </c>
      <c r="G6" s="2" t="s">
        <v>1562</v>
      </c>
      <c r="H6" s="2" t="str">
        <f>"2015/S 003-0005894"</f>
        <v>2015/S 003-0005894</v>
      </c>
      <c r="I6" s="2" t="s">
        <v>19</v>
      </c>
      <c r="J6" s="3" t="str">
        <f>"600.000,00"</f>
        <v>600.000,00</v>
      </c>
      <c r="K6" s="2" t="s">
        <v>20</v>
      </c>
      <c r="L6" s="2" t="s">
        <v>21</v>
      </c>
      <c r="M6" s="2" t="s">
        <v>22</v>
      </c>
      <c r="N6" s="2" t="s">
        <v>23</v>
      </c>
      <c r="O6" s="3" t="str">
        <f>"129.550,00"</f>
        <v>129.550,00</v>
      </c>
      <c r="P6" s="4"/>
    </row>
    <row r="7" spans="2:16" ht="31.5" x14ac:dyDescent="0.25">
      <c r="B7" s="2">
        <v>2</v>
      </c>
      <c r="C7" s="2" t="str">
        <f>"NOS-111/14"</f>
        <v>NOS-111/14</v>
      </c>
      <c r="D7" s="2" t="s">
        <v>16</v>
      </c>
      <c r="E7" s="2" t="s">
        <v>17</v>
      </c>
      <c r="F7" s="2" t="s">
        <v>24</v>
      </c>
      <c r="G7" s="2" t="str">
        <f>"2014-2462"</f>
        <v>2014-2462</v>
      </c>
      <c r="H7" s="2" t="str">
        <f>"2015/S 003-0013708"</f>
        <v>2015/S 003-0013708</v>
      </c>
      <c r="I7" s="2" t="s">
        <v>19</v>
      </c>
      <c r="J7" s="3" t="str">
        <f>"10.000.000,00"</f>
        <v>10.000.000,00</v>
      </c>
      <c r="K7" s="2" t="s">
        <v>25</v>
      </c>
      <c r="L7" s="2" t="s">
        <v>26</v>
      </c>
      <c r="M7" s="2" t="s">
        <v>27</v>
      </c>
      <c r="N7" s="2" t="s">
        <v>23</v>
      </c>
      <c r="O7" s="3" t="str">
        <f>"3.628.510,68"</f>
        <v>3.628.510,68</v>
      </c>
      <c r="P7" s="4"/>
    </row>
    <row r="8" spans="2:16" ht="47.25" x14ac:dyDescent="0.25">
      <c r="B8" s="2">
        <v>3</v>
      </c>
      <c r="C8" s="2" t="str">
        <f>"NOS-107/14"</f>
        <v>NOS-107/14</v>
      </c>
      <c r="D8" s="2" t="s">
        <v>28</v>
      </c>
      <c r="E8" s="2" t="s">
        <v>17</v>
      </c>
      <c r="F8" s="2" t="s">
        <v>29</v>
      </c>
      <c r="G8" s="2" t="str">
        <f>"2014-2546"</f>
        <v>2014-2546</v>
      </c>
      <c r="H8" s="2" t="str">
        <f>"2015/S 003-0006150"</f>
        <v>2015/S 003-0006150</v>
      </c>
      <c r="I8" s="2" t="s">
        <v>19</v>
      </c>
      <c r="J8" s="3" t="str">
        <f>"400.000,00"</f>
        <v>400.000,00</v>
      </c>
      <c r="K8" s="2" t="s">
        <v>20</v>
      </c>
      <c r="L8" s="2" t="s">
        <v>21</v>
      </c>
      <c r="M8" s="2" t="s">
        <v>30</v>
      </c>
      <c r="N8" s="2" t="s">
        <v>23</v>
      </c>
      <c r="O8" s="3" t="str">
        <f>"28.700,00"</f>
        <v>28.700,00</v>
      </c>
      <c r="P8" s="4"/>
    </row>
    <row r="9" spans="2:16" ht="31.5" x14ac:dyDescent="0.25">
      <c r="B9" s="36">
        <v>4</v>
      </c>
      <c r="C9" s="36" t="str">
        <f>"NOS-99/14"</f>
        <v>NOS-99/14</v>
      </c>
      <c r="D9" s="36" t="s">
        <v>28</v>
      </c>
      <c r="E9" s="36" t="s">
        <v>17</v>
      </c>
      <c r="F9" s="36" t="s">
        <v>31</v>
      </c>
      <c r="G9" s="36" t="str">
        <f>"2014-2629"</f>
        <v>2014-2629</v>
      </c>
      <c r="H9" s="36" t="str">
        <f>"2015/S 003-0005341"</f>
        <v>2015/S 003-0005341</v>
      </c>
      <c r="I9" s="36" t="s">
        <v>19</v>
      </c>
      <c r="J9" s="38" t="str">
        <f>"600.000,00"</f>
        <v>600.000,00</v>
      </c>
      <c r="K9" s="36" t="s">
        <v>32</v>
      </c>
      <c r="L9" s="36" t="s">
        <v>33</v>
      </c>
      <c r="M9" s="6" t="s">
        <v>34</v>
      </c>
      <c r="N9" s="36" t="s">
        <v>23</v>
      </c>
      <c r="O9" s="38" t="str">
        <f>"79.200,00"</f>
        <v>79.200,00</v>
      </c>
      <c r="P9" s="50"/>
    </row>
    <row r="10" spans="2:16" ht="31.5" x14ac:dyDescent="0.25">
      <c r="B10" s="48"/>
      <c r="C10" s="48"/>
      <c r="D10" s="48"/>
      <c r="E10" s="48"/>
      <c r="F10" s="48"/>
      <c r="G10" s="48"/>
      <c r="H10" s="48"/>
      <c r="I10" s="48"/>
      <c r="J10" s="49"/>
      <c r="K10" s="48"/>
      <c r="L10" s="48"/>
      <c r="M10" s="7" t="s">
        <v>35</v>
      </c>
      <c r="N10" s="48"/>
      <c r="O10" s="49"/>
      <c r="P10" s="51"/>
    </row>
    <row r="11" spans="2:16" ht="78.75" x14ac:dyDescent="0.25">
      <c r="B11" s="37"/>
      <c r="C11" s="37"/>
      <c r="D11" s="37"/>
      <c r="E11" s="37"/>
      <c r="F11" s="37"/>
      <c r="G11" s="37"/>
      <c r="H11" s="37"/>
      <c r="I11" s="37"/>
      <c r="J11" s="39"/>
      <c r="K11" s="37"/>
      <c r="L11" s="37"/>
      <c r="M11" s="8" t="s">
        <v>36</v>
      </c>
      <c r="N11" s="37"/>
      <c r="O11" s="39"/>
      <c r="P11" s="52"/>
    </row>
    <row r="12" spans="2:16" ht="31.5" x14ac:dyDescent="0.25">
      <c r="B12" s="2">
        <v>5</v>
      </c>
      <c r="C12" s="2" t="str">
        <f>"NOS-104/14"</f>
        <v>NOS-104/14</v>
      </c>
      <c r="D12" s="2" t="s">
        <v>16</v>
      </c>
      <c r="E12" s="2" t="s">
        <v>17</v>
      </c>
      <c r="F12" s="2" t="s">
        <v>37</v>
      </c>
      <c r="G12" s="2" t="str">
        <f>"2014-57"</f>
        <v>2014-57</v>
      </c>
      <c r="H12" s="2" t="str">
        <f>"2015/S 003-0007642"</f>
        <v>2015/S 003-0007642</v>
      </c>
      <c r="I12" s="2" t="s">
        <v>19</v>
      </c>
      <c r="J12" s="3" t="str">
        <f>"6.000.000,00"</f>
        <v>6.000.000,00</v>
      </c>
      <c r="K12" s="2" t="s">
        <v>38</v>
      </c>
      <c r="L12" s="2" t="s">
        <v>39</v>
      </c>
      <c r="M12" s="2" t="s">
        <v>40</v>
      </c>
      <c r="N12" s="2" t="s">
        <v>23</v>
      </c>
      <c r="O12" s="3" t="str">
        <f>"1.683.745,00"</f>
        <v>1.683.745,00</v>
      </c>
      <c r="P12" s="4"/>
    </row>
    <row r="13" spans="2:16" ht="47.25" x14ac:dyDescent="0.25">
      <c r="B13" s="36">
        <v>6</v>
      </c>
      <c r="C13" s="36" t="str">
        <f>"NOS-108/14"</f>
        <v>NOS-108/14</v>
      </c>
      <c r="D13" s="36" t="s">
        <v>16</v>
      </c>
      <c r="E13" s="36" t="s">
        <v>17</v>
      </c>
      <c r="F13" s="36" t="s">
        <v>41</v>
      </c>
      <c r="G13" s="36" t="str">
        <f>"2014-2702"</f>
        <v>2014-2702</v>
      </c>
      <c r="H13" s="36" t="str">
        <f>"2015/S 003-0007629"</f>
        <v>2015/S 003-0007629</v>
      </c>
      <c r="I13" s="36" t="s">
        <v>19</v>
      </c>
      <c r="J13" s="38" t="str">
        <f>"4.000.000,00"</f>
        <v>4.000.000,00</v>
      </c>
      <c r="K13" s="36" t="s">
        <v>42</v>
      </c>
      <c r="L13" s="36" t="s">
        <v>43</v>
      </c>
      <c r="M13" s="6" t="s">
        <v>44</v>
      </c>
      <c r="N13" s="36" t="s">
        <v>23</v>
      </c>
      <c r="O13" s="38" t="str">
        <f>"1.146.195,68"</f>
        <v>1.146.195,68</v>
      </c>
      <c r="P13" s="50"/>
    </row>
    <row r="14" spans="2:16" ht="47.25" x14ac:dyDescent="0.25">
      <c r="B14" s="48"/>
      <c r="C14" s="48"/>
      <c r="D14" s="48"/>
      <c r="E14" s="48"/>
      <c r="F14" s="48"/>
      <c r="G14" s="48"/>
      <c r="H14" s="48"/>
      <c r="I14" s="48"/>
      <c r="J14" s="49"/>
      <c r="K14" s="48"/>
      <c r="L14" s="48"/>
      <c r="M14" s="7" t="s">
        <v>45</v>
      </c>
      <c r="N14" s="48"/>
      <c r="O14" s="49"/>
      <c r="P14" s="51"/>
    </row>
    <row r="15" spans="2:16" ht="31.5" x14ac:dyDescent="0.25">
      <c r="B15" s="37"/>
      <c r="C15" s="37"/>
      <c r="D15" s="37"/>
      <c r="E15" s="37"/>
      <c r="F15" s="37"/>
      <c r="G15" s="37"/>
      <c r="H15" s="37"/>
      <c r="I15" s="37"/>
      <c r="J15" s="39"/>
      <c r="K15" s="37"/>
      <c r="L15" s="37"/>
      <c r="M15" s="8" t="s">
        <v>46</v>
      </c>
      <c r="N15" s="37"/>
      <c r="O15" s="39"/>
      <c r="P15" s="52"/>
    </row>
    <row r="16" spans="2:16" ht="31.5" x14ac:dyDescent="0.25">
      <c r="B16" s="2">
        <v>7</v>
      </c>
      <c r="C16" s="2" t="str">
        <f>"NOS-114-A/14"</f>
        <v>NOS-114-A/14</v>
      </c>
      <c r="D16" s="2" t="s">
        <v>16</v>
      </c>
      <c r="E16" s="2" t="s">
        <v>17</v>
      </c>
      <c r="F16" s="2" t="s">
        <v>47</v>
      </c>
      <c r="G16" s="2" t="str">
        <f>"2014-2543"</f>
        <v>2014-2543</v>
      </c>
      <c r="H16" s="2" t="str">
        <f>"2015/S 003-0015831"</f>
        <v>2015/S 003-0015831</v>
      </c>
      <c r="I16" s="2" t="s">
        <v>19</v>
      </c>
      <c r="J16" s="3" t="str">
        <f>"1.000.000,00"</f>
        <v>1.000.000,00</v>
      </c>
      <c r="K16" s="2" t="s">
        <v>48</v>
      </c>
      <c r="L16" s="2" t="s">
        <v>49</v>
      </c>
      <c r="M16" s="2" t="s">
        <v>50</v>
      </c>
      <c r="N16" s="2" t="s">
        <v>23</v>
      </c>
      <c r="O16" s="3" t="str">
        <f>"220.125,00"</f>
        <v>220.125,00</v>
      </c>
      <c r="P16" s="4"/>
    </row>
    <row r="17" spans="2:16" ht="47.25" x14ac:dyDescent="0.25">
      <c r="B17" s="2">
        <v>8</v>
      </c>
      <c r="C17" s="2" t="str">
        <f>"NOS-106/14"</f>
        <v>NOS-106/14</v>
      </c>
      <c r="D17" s="2" t="s">
        <v>16</v>
      </c>
      <c r="E17" s="2" t="s">
        <v>17</v>
      </c>
      <c r="F17" s="2" t="s">
        <v>51</v>
      </c>
      <c r="G17" s="2" t="str">
        <f>"2014-2666"</f>
        <v>2014-2666</v>
      </c>
      <c r="H17" s="2" t="str">
        <f>"2015/S 003-0005929"</f>
        <v>2015/S 003-0005929</v>
      </c>
      <c r="I17" s="2" t="s">
        <v>19</v>
      </c>
      <c r="J17" s="3" t="str">
        <f>"527.929,00"</f>
        <v>527.929,00</v>
      </c>
      <c r="K17" s="2" t="s">
        <v>20</v>
      </c>
      <c r="L17" s="2" t="s">
        <v>21</v>
      </c>
      <c r="M17" s="2" t="s">
        <v>52</v>
      </c>
      <c r="N17" s="2" t="s">
        <v>23</v>
      </c>
      <c r="O17" s="3" t="str">
        <f>"105.871,90"</f>
        <v>105.871,90</v>
      </c>
      <c r="P17" s="4"/>
    </row>
    <row r="18" spans="2:16" ht="31.5" x14ac:dyDescent="0.25">
      <c r="B18" s="2">
        <v>9</v>
      </c>
      <c r="C18" s="2" t="str">
        <f>"NOS-101/14"</f>
        <v>NOS-101/14</v>
      </c>
      <c r="D18" s="2" t="s">
        <v>16</v>
      </c>
      <c r="E18" s="2" t="s">
        <v>17</v>
      </c>
      <c r="F18" s="2" t="s">
        <v>53</v>
      </c>
      <c r="G18" s="2" t="str">
        <f>"2014-2386"</f>
        <v>2014-2386</v>
      </c>
      <c r="H18" s="2" t="str">
        <f>"2015/S 003-0005014"</f>
        <v>2015/S 003-0005014</v>
      </c>
      <c r="I18" s="2" t="s">
        <v>19</v>
      </c>
      <c r="J18" s="3" t="str">
        <f>"600.000,00"</f>
        <v>600.000,00</v>
      </c>
      <c r="K18" s="2" t="s">
        <v>54</v>
      </c>
      <c r="L18" s="2" t="s">
        <v>55</v>
      </c>
      <c r="M18" s="2" t="s">
        <v>56</v>
      </c>
      <c r="N18" s="2" t="s">
        <v>23</v>
      </c>
      <c r="O18" s="3" t="str">
        <f>"144.600,00"</f>
        <v>144.600,00</v>
      </c>
      <c r="P18" s="4"/>
    </row>
    <row r="19" spans="2:16" ht="31.5" x14ac:dyDescent="0.25">
      <c r="B19" s="2">
        <v>10</v>
      </c>
      <c r="C19" s="2" t="str">
        <f>"NOS-103/14"</f>
        <v>NOS-103/14</v>
      </c>
      <c r="D19" s="2" t="s">
        <v>16</v>
      </c>
      <c r="E19" s="2" t="s">
        <v>17</v>
      </c>
      <c r="F19" s="2" t="s">
        <v>57</v>
      </c>
      <c r="G19" s="2" t="str">
        <f>"2014-2387"</f>
        <v>2014-2387</v>
      </c>
      <c r="H19" s="2" t="str">
        <f>"2015/S 003-0005913"</f>
        <v>2015/S 003-0005913</v>
      </c>
      <c r="I19" s="2" t="s">
        <v>19</v>
      </c>
      <c r="J19" s="3" t="str">
        <f>"800.000,00"</f>
        <v>800.000,00</v>
      </c>
      <c r="K19" s="2" t="s">
        <v>20</v>
      </c>
      <c r="L19" s="2" t="s">
        <v>21</v>
      </c>
      <c r="M19" s="2" t="s">
        <v>56</v>
      </c>
      <c r="N19" s="2" t="s">
        <v>23</v>
      </c>
      <c r="O19" s="3" t="str">
        <f>"200.270,00"</f>
        <v>200.270,00</v>
      </c>
      <c r="P19" s="4"/>
    </row>
    <row r="20" spans="2:16" ht="15.75" x14ac:dyDescent="0.25">
      <c r="B20" s="36">
        <v>11</v>
      </c>
      <c r="C20" s="36" t="str">
        <f>"NOS-122/14"</f>
        <v>NOS-122/14</v>
      </c>
      <c r="D20" s="36" t="s">
        <v>28</v>
      </c>
      <c r="E20" s="36" t="s">
        <v>17</v>
      </c>
      <c r="F20" s="36" t="s">
        <v>58</v>
      </c>
      <c r="G20" s="36" t="str">
        <f>"2014-2717"</f>
        <v>2014-2717</v>
      </c>
      <c r="H20" s="36" t="str">
        <f>"2015/S 003-0023724"</f>
        <v>2015/S 003-0023724</v>
      </c>
      <c r="I20" s="36" t="s">
        <v>19</v>
      </c>
      <c r="J20" s="38" t="str">
        <f>"1.000.000,00"</f>
        <v>1.000.000,00</v>
      </c>
      <c r="K20" s="36" t="s">
        <v>59</v>
      </c>
      <c r="L20" s="36" t="s">
        <v>60</v>
      </c>
      <c r="M20" s="6" t="s">
        <v>61</v>
      </c>
      <c r="N20" s="36" t="s">
        <v>23</v>
      </c>
      <c r="O20" s="38" t="str">
        <f>"201.674,73"</f>
        <v>201.674,73</v>
      </c>
      <c r="P20" s="50"/>
    </row>
    <row r="21" spans="2:16" ht="31.5" x14ac:dyDescent="0.25">
      <c r="B21" s="48"/>
      <c r="C21" s="48"/>
      <c r="D21" s="48"/>
      <c r="E21" s="48"/>
      <c r="F21" s="48"/>
      <c r="G21" s="48"/>
      <c r="H21" s="48"/>
      <c r="I21" s="48"/>
      <c r="J21" s="49"/>
      <c r="K21" s="48"/>
      <c r="L21" s="48"/>
      <c r="M21" s="7" t="s">
        <v>62</v>
      </c>
      <c r="N21" s="48"/>
      <c r="O21" s="49"/>
      <c r="P21" s="51"/>
    </row>
    <row r="22" spans="2:16" ht="47.25" x14ac:dyDescent="0.25">
      <c r="B22" s="48"/>
      <c r="C22" s="48"/>
      <c r="D22" s="48"/>
      <c r="E22" s="48"/>
      <c r="F22" s="48"/>
      <c r="G22" s="48"/>
      <c r="H22" s="48"/>
      <c r="I22" s="48"/>
      <c r="J22" s="49"/>
      <c r="K22" s="48"/>
      <c r="L22" s="48"/>
      <c r="M22" s="7" t="s">
        <v>63</v>
      </c>
      <c r="N22" s="48"/>
      <c r="O22" s="49"/>
      <c r="P22" s="51"/>
    </row>
    <row r="23" spans="2:16" ht="63" x14ac:dyDescent="0.25">
      <c r="B23" s="48"/>
      <c r="C23" s="48"/>
      <c r="D23" s="48"/>
      <c r="E23" s="48"/>
      <c r="F23" s="48"/>
      <c r="G23" s="48"/>
      <c r="H23" s="48"/>
      <c r="I23" s="48"/>
      <c r="J23" s="49"/>
      <c r="K23" s="48"/>
      <c r="L23" s="48"/>
      <c r="M23" s="7" t="s">
        <v>64</v>
      </c>
      <c r="N23" s="48"/>
      <c r="O23" s="49"/>
      <c r="P23" s="51"/>
    </row>
    <row r="24" spans="2:16" ht="31.5" x14ac:dyDescent="0.25">
      <c r="B24" s="37"/>
      <c r="C24" s="37"/>
      <c r="D24" s="37"/>
      <c r="E24" s="37"/>
      <c r="F24" s="37"/>
      <c r="G24" s="37"/>
      <c r="H24" s="37"/>
      <c r="I24" s="37"/>
      <c r="J24" s="39"/>
      <c r="K24" s="37"/>
      <c r="L24" s="37"/>
      <c r="M24" s="8" t="s">
        <v>65</v>
      </c>
      <c r="N24" s="37"/>
      <c r="O24" s="39"/>
      <c r="P24" s="52"/>
    </row>
    <row r="25" spans="2:16" ht="47.25" x14ac:dyDescent="0.25">
      <c r="B25" s="2">
        <v>12</v>
      </c>
      <c r="C25" s="2" t="str">
        <f>"NOS-110/14"</f>
        <v>NOS-110/14</v>
      </c>
      <c r="D25" s="2" t="s">
        <v>16</v>
      </c>
      <c r="E25" s="2" t="s">
        <v>17</v>
      </c>
      <c r="F25" s="2" t="s">
        <v>66</v>
      </c>
      <c r="G25" s="2" t="str">
        <f>"2014-2731"</f>
        <v>2014-2731</v>
      </c>
      <c r="H25" s="2" t="str">
        <f>"2015/S 003-0013367"</f>
        <v>2015/S 003-0013367</v>
      </c>
      <c r="I25" s="2" t="s">
        <v>19</v>
      </c>
      <c r="J25" s="3" t="str">
        <f>"800.000,00"</f>
        <v>800.000,00</v>
      </c>
      <c r="K25" s="2" t="s">
        <v>67</v>
      </c>
      <c r="L25" s="2" t="s">
        <v>68</v>
      </c>
      <c r="M25" s="2" t="s">
        <v>69</v>
      </c>
      <c r="N25" s="2" t="s">
        <v>23</v>
      </c>
      <c r="O25" s="3" t="str">
        <f>"30.966,75"</f>
        <v>30.966,75</v>
      </c>
      <c r="P25" s="4"/>
    </row>
    <row r="26" spans="2:16" ht="47.25" x14ac:dyDescent="0.25">
      <c r="B26" s="36">
        <v>13</v>
      </c>
      <c r="C26" s="36" t="str">
        <f>"NOS-120/14"</f>
        <v>NOS-120/14</v>
      </c>
      <c r="D26" s="36" t="s">
        <v>16</v>
      </c>
      <c r="E26" s="36" t="s">
        <v>17</v>
      </c>
      <c r="F26" s="36" t="s">
        <v>70</v>
      </c>
      <c r="G26" s="36" t="str">
        <f>"2014-2732"</f>
        <v>2014-2732</v>
      </c>
      <c r="H26" s="44" t="s">
        <v>1547</v>
      </c>
      <c r="I26" s="36" t="s">
        <v>19</v>
      </c>
      <c r="J26" s="38" t="str">
        <f>"1.000.000,00"</f>
        <v>1.000.000,00</v>
      </c>
      <c r="K26" s="36" t="s">
        <v>71</v>
      </c>
      <c r="L26" s="36" t="s">
        <v>72</v>
      </c>
      <c r="M26" s="6" t="s">
        <v>73</v>
      </c>
      <c r="N26" s="36" t="s">
        <v>23</v>
      </c>
      <c r="O26" s="38" t="str">
        <f>"25.920,00"</f>
        <v>25.920,00</v>
      </c>
      <c r="P26" s="50"/>
    </row>
    <row r="27" spans="2:16" ht="31.5" x14ac:dyDescent="0.25">
      <c r="B27" s="48"/>
      <c r="C27" s="48"/>
      <c r="D27" s="48"/>
      <c r="E27" s="48"/>
      <c r="F27" s="48"/>
      <c r="G27" s="48"/>
      <c r="H27" s="47"/>
      <c r="I27" s="48"/>
      <c r="J27" s="49"/>
      <c r="K27" s="48"/>
      <c r="L27" s="48"/>
      <c r="M27" s="7" t="s">
        <v>74</v>
      </c>
      <c r="N27" s="48"/>
      <c r="O27" s="49"/>
      <c r="P27" s="51"/>
    </row>
    <row r="28" spans="2:16" ht="47.25" x14ac:dyDescent="0.25">
      <c r="B28" s="37"/>
      <c r="C28" s="37"/>
      <c r="D28" s="37"/>
      <c r="E28" s="37"/>
      <c r="F28" s="37"/>
      <c r="G28" s="37"/>
      <c r="H28" s="45"/>
      <c r="I28" s="37"/>
      <c r="J28" s="39"/>
      <c r="K28" s="37"/>
      <c r="L28" s="37"/>
      <c r="M28" s="8" t="s">
        <v>75</v>
      </c>
      <c r="N28" s="37"/>
      <c r="O28" s="39"/>
      <c r="P28" s="52"/>
    </row>
    <row r="29" spans="2:16" ht="78.75" x14ac:dyDescent="0.25">
      <c r="B29" s="2">
        <v>14</v>
      </c>
      <c r="C29" s="2" t="str">
        <f>"NOS-112/14"</f>
        <v>NOS-112/14</v>
      </c>
      <c r="D29" s="2" t="s">
        <v>76</v>
      </c>
      <c r="E29" s="2" t="s">
        <v>17</v>
      </c>
      <c r="F29" s="2" t="s">
        <v>77</v>
      </c>
      <c r="G29" s="2" t="str">
        <f>"2014-2745"</f>
        <v>2014-2745</v>
      </c>
      <c r="H29" s="2" t="str">
        <f>"2015/S 003-0015808"</f>
        <v>2015/S 003-0015808</v>
      </c>
      <c r="I29" s="2" t="s">
        <v>19</v>
      </c>
      <c r="J29" s="3" t="str">
        <f>"2.200.000,00"</f>
        <v>2.200.000,00</v>
      </c>
      <c r="K29" s="2" t="s">
        <v>78</v>
      </c>
      <c r="L29" s="2" t="s">
        <v>79</v>
      </c>
      <c r="M29" s="2" t="s">
        <v>80</v>
      </c>
      <c r="N29" s="2" t="s">
        <v>23</v>
      </c>
      <c r="O29" s="3" t="str">
        <f>"254.100,00"</f>
        <v>254.100,00</v>
      </c>
      <c r="P29" s="4"/>
    </row>
    <row r="30" spans="2:16" ht="47.25" x14ac:dyDescent="0.25">
      <c r="B30" s="2">
        <v>15</v>
      </c>
      <c r="C30" s="2" t="str">
        <f>"NOS-121-B/14"</f>
        <v>NOS-121-B/14</v>
      </c>
      <c r="D30" s="2" t="s">
        <v>28</v>
      </c>
      <c r="E30" s="2" t="s">
        <v>17</v>
      </c>
      <c r="F30" s="2" t="s">
        <v>81</v>
      </c>
      <c r="G30" s="2" t="str">
        <f>"2014-2466"</f>
        <v>2014-2466</v>
      </c>
      <c r="H30" s="2" t="str">
        <f>"2015/S 003-0023209"</f>
        <v>2015/S 003-0023209</v>
      </c>
      <c r="I30" s="2" t="s">
        <v>19</v>
      </c>
      <c r="J30" s="3" t="str">
        <f>"4.300.000,00"</f>
        <v>4.300.000,00</v>
      </c>
      <c r="K30" s="2" t="s">
        <v>82</v>
      </c>
      <c r="L30" s="2" t="s">
        <v>83</v>
      </c>
      <c r="M30" s="2" t="s">
        <v>84</v>
      </c>
      <c r="N30" s="2" t="s">
        <v>23</v>
      </c>
      <c r="O30" s="3" t="str">
        <f>"834.190,00"</f>
        <v>834.190,00</v>
      </c>
      <c r="P30" s="4"/>
    </row>
    <row r="31" spans="2:16" ht="31.5" x14ac:dyDescent="0.25">
      <c r="B31" s="36">
        <v>16</v>
      </c>
      <c r="C31" s="36" t="str">
        <f>"NOS-118/14"</f>
        <v>NOS-118/14</v>
      </c>
      <c r="D31" s="36" t="s">
        <v>85</v>
      </c>
      <c r="E31" s="36" t="s">
        <v>17</v>
      </c>
      <c r="F31" s="36" t="s">
        <v>86</v>
      </c>
      <c r="G31" s="36" t="str">
        <f>"2014-2747"</f>
        <v>2014-2747</v>
      </c>
      <c r="H31" s="36" t="str">
        <f>"2015/S 003-0016990"</f>
        <v>2015/S 003-0016990</v>
      </c>
      <c r="I31" s="36" t="s">
        <v>19</v>
      </c>
      <c r="J31" s="38" t="str">
        <f>"23.000.000,00"</f>
        <v>23.000.000,00</v>
      </c>
      <c r="K31" s="36" t="s">
        <v>87</v>
      </c>
      <c r="L31" s="36" t="s">
        <v>88</v>
      </c>
      <c r="M31" s="6" t="s">
        <v>84</v>
      </c>
      <c r="N31" s="36" t="s">
        <v>23</v>
      </c>
      <c r="O31" s="38" t="str">
        <f>"2.176.331,00"</f>
        <v>2.176.331,00</v>
      </c>
      <c r="P31" s="50"/>
    </row>
    <row r="32" spans="2:16" ht="47.25" x14ac:dyDescent="0.25">
      <c r="B32" s="48"/>
      <c r="C32" s="48"/>
      <c r="D32" s="48"/>
      <c r="E32" s="48"/>
      <c r="F32" s="48"/>
      <c r="G32" s="48"/>
      <c r="H32" s="48"/>
      <c r="I32" s="48"/>
      <c r="J32" s="49"/>
      <c r="K32" s="48"/>
      <c r="L32" s="48"/>
      <c r="M32" s="7" t="s">
        <v>89</v>
      </c>
      <c r="N32" s="48"/>
      <c r="O32" s="49"/>
      <c r="P32" s="51"/>
    </row>
    <row r="33" spans="2:16" ht="31.5" x14ac:dyDescent="0.25">
      <c r="B33" s="37"/>
      <c r="C33" s="37"/>
      <c r="D33" s="37"/>
      <c r="E33" s="37"/>
      <c r="F33" s="37"/>
      <c r="G33" s="37"/>
      <c r="H33" s="37"/>
      <c r="I33" s="37"/>
      <c r="J33" s="39"/>
      <c r="K33" s="37"/>
      <c r="L33" s="37"/>
      <c r="M33" s="8" t="s">
        <v>90</v>
      </c>
      <c r="N33" s="37"/>
      <c r="O33" s="39"/>
      <c r="P33" s="52"/>
    </row>
    <row r="34" spans="2:16" ht="47.25" x14ac:dyDescent="0.25">
      <c r="B34" s="2">
        <v>17</v>
      </c>
      <c r="C34" s="2" t="str">
        <f>"NOS-123/14"</f>
        <v>NOS-123/14</v>
      </c>
      <c r="D34" s="2" t="s">
        <v>28</v>
      </c>
      <c r="E34" s="2" t="s">
        <v>17</v>
      </c>
      <c r="F34" s="2" t="s">
        <v>91</v>
      </c>
      <c r="G34" s="2" t="str">
        <f>"2014-2755"</f>
        <v>2014-2755</v>
      </c>
      <c r="H34" s="2" t="str">
        <f>"2015/S 003-0029214"</f>
        <v>2015/S 003-0029214</v>
      </c>
      <c r="I34" s="2" t="s">
        <v>19</v>
      </c>
      <c r="J34" s="3" t="str">
        <f>"3.000.000,00"</f>
        <v>3.000.000,00</v>
      </c>
      <c r="K34" s="2" t="s">
        <v>92</v>
      </c>
      <c r="L34" s="2" t="s">
        <v>93</v>
      </c>
      <c r="M34" s="2" t="s">
        <v>62</v>
      </c>
      <c r="N34" s="2" t="s">
        <v>23</v>
      </c>
      <c r="O34" s="3" t="str">
        <f>"0,00"</f>
        <v>0,00</v>
      </c>
      <c r="P34" s="4"/>
    </row>
    <row r="35" spans="2:16" ht="47.25" x14ac:dyDescent="0.25">
      <c r="B35" s="2">
        <v>18</v>
      </c>
      <c r="C35" s="2" t="str">
        <f>"NOS-115-A/14"</f>
        <v>NOS-115-A/14</v>
      </c>
      <c r="D35" s="2" t="s">
        <v>16</v>
      </c>
      <c r="E35" s="2" t="s">
        <v>17</v>
      </c>
      <c r="F35" s="2" t="s">
        <v>94</v>
      </c>
      <c r="G35" s="2" t="str">
        <f>"2014-2758"</f>
        <v>2014-2758</v>
      </c>
      <c r="H35" s="2" t="str">
        <f>"2015/S 003-0015847"</f>
        <v>2015/S 003-0015847</v>
      </c>
      <c r="I35" s="2" t="s">
        <v>19</v>
      </c>
      <c r="J35" s="3" t="str">
        <f>"440.000,00"</f>
        <v>440.000,00</v>
      </c>
      <c r="K35" s="2" t="s">
        <v>48</v>
      </c>
      <c r="L35" s="2" t="s">
        <v>49</v>
      </c>
      <c r="M35" s="2" t="s">
        <v>50</v>
      </c>
      <c r="N35" s="2" t="s">
        <v>23</v>
      </c>
      <c r="O35" s="3" t="str">
        <f>"54.016,19"</f>
        <v>54.016,19</v>
      </c>
      <c r="P35" s="4"/>
    </row>
    <row r="36" spans="2:16" ht="47.25" x14ac:dyDescent="0.25">
      <c r="B36" s="2">
        <v>19</v>
      </c>
      <c r="C36" s="2" t="str">
        <f>"NOS-116/14"</f>
        <v>NOS-116/14</v>
      </c>
      <c r="D36" s="2" t="s">
        <v>16</v>
      </c>
      <c r="E36" s="2" t="s">
        <v>17</v>
      </c>
      <c r="F36" s="2" t="s">
        <v>95</v>
      </c>
      <c r="G36" s="2" t="str">
        <f>"2014-2469"</f>
        <v>2014-2469</v>
      </c>
      <c r="H36" s="2" t="str">
        <f>"2015/S 003-0016992"</f>
        <v>2015/S 003-0016992</v>
      </c>
      <c r="I36" s="2" t="s">
        <v>19</v>
      </c>
      <c r="J36" s="3" t="str">
        <f>"3.000.000,00"</f>
        <v>3.000.000,00</v>
      </c>
      <c r="K36" s="2" t="s">
        <v>96</v>
      </c>
      <c r="L36" s="2" t="s">
        <v>97</v>
      </c>
      <c r="M36" s="2" t="s">
        <v>98</v>
      </c>
      <c r="N36" s="2" t="s">
        <v>23</v>
      </c>
      <c r="O36" s="3" t="str">
        <f>"0,00"</f>
        <v>0,00</v>
      </c>
      <c r="P36" s="4"/>
    </row>
    <row r="37" spans="2:16" ht="47.25" x14ac:dyDescent="0.25">
      <c r="B37" s="2">
        <v>20</v>
      </c>
      <c r="C37" s="2" t="str">
        <f>"NOS-119/14"</f>
        <v>NOS-119/14</v>
      </c>
      <c r="D37" s="2" t="s">
        <v>16</v>
      </c>
      <c r="E37" s="2" t="s">
        <v>17</v>
      </c>
      <c r="F37" s="2" t="s">
        <v>99</v>
      </c>
      <c r="G37" s="2" t="str">
        <f>"2014-2468"</f>
        <v>2014-2468</v>
      </c>
      <c r="H37" s="2" t="str">
        <f>" 2015/S 003-0021057"</f>
        <v xml:space="preserve"> 2015/S 003-0021057</v>
      </c>
      <c r="I37" s="2" t="s">
        <v>19</v>
      </c>
      <c r="J37" s="3" t="str">
        <f>"6.000.000,00"</f>
        <v>6.000.000,00</v>
      </c>
      <c r="K37" s="2" t="s">
        <v>100</v>
      </c>
      <c r="L37" s="2" t="s">
        <v>101</v>
      </c>
      <c r="M37" s="2" t="s">
        <v>98</v>
      </c>
      <c r="N37" s="2" t="s">
        <v>23</v>
      </c>
      <c r="O37" s="3" t="str">
        <f>"2.016.850,80"</f>
        <v>2.016.850,80</v>
      </c>
      <c r="P37" s="4"/>
    </row>
    <row r="38" spans="2:16" ht="31.5" x14ac:dyDescent="0.25">
      <c r="B38" s="36">
        <v>21</v>
      </c>
      <c r="C38" s="36" t="str">
        <f>"NOS-117/14"</f>
        <v>NOS-117/14</v>
      </c>
      <c r="D38" s="36" t="s">
        <v>16</v>
      </c>
      <c r="E38" s="36" t="s">
        <v>17</v>
      </c>
      <c r="F38" s="36" t="s">
        <v>102</v>
      </c>
      <c r="G38" s="36" t="str">
        <f>"2014-2783"</f>
        <v>2014-2783</v>
      </c>
      <c r="H38" s="36" t="str">
        <f>"2015/S 003-0017239"</f>
        <v>2015/S 003-0017239</v>
      </c>
      <c r="I38" s="36" t="s">
        <v>19</v>
      </c>
      <c r="J38" s="38" t="str">
        <f>"1.000.000,00"</f>
        <v>1.000.000,00</v>
      </c>
      <c r="K38" s="36" t="s">
        <v>87</v>
      </c>
      <c r="L38" s="36" t="s">
        <v>88</v>
      </c>
      <c r="M38" s="6" t="s">
        <v>56</v>
      </c>
      <c r="N38" s="36" t="s">
        <v>23</v>
      </c>
      <c r="O38" s="38" t="str">
        <f>"62.400,00"</f>
        <v>62.400,00</v>
      </c>
      <c r="P38" s="50"/>
    </row>
    <row r="39" spans="2:16" ht="63" x14ac:dyDescent="0.25">
      <c r="B39" s="37"/>
      <c r="C39" s="37"/>
      <c r="D39" s="37"/>
      <c r="E39" s="37"/>
      <c r="F39" s="37"/>
      <c r="G39" s="37"/>
      <c r="H39" s="37"/>
      <c r="I39" s="37"/>
      <c r="J39" s="39"/>
      <c r="K39" s="37"/>
      <c r="L39" s="37"/>
      <c r="M39" s="8" t="s">
        <v>64</v>
      </c>
      <c r="N39" s="37"/>
      <c r="O39" s="39"/>
      <c r="P39" s="52"/>
    </row>
    <row r="40" spans="2:16" ht="31.5" x14ac:dyDescent="0.25">
      <c r="B40" s="2">
        <v>22</v>
      </c>
      <c r="C40" s="2" t="str">
        <f>"NOS-113/14"</f>
        <v>NOS-113/14</v>
      </c>
      <c r="D40" s="2" t="s">
        <v>16</v>
      </c>
      <c r="E40" s="2" t="s">
        <v>17</v>
      </c>
      <c r="F40" s="2" t="s">
        <v>103</v>
      </c>
      <c r="G40" s="2" t="str">
        <f>"2014-2682"</f>
        <v>2014-2682</v>
      </c>
      <c r="H40" s="2" t="str">
        <f>"2015/S 003-0016295"</f>
        <v>2015/S 003-0016295</v>
      </c>
      <c r="I40" s="2" t="s">
        <v>19</v>
      </c>
      <c r="J40" s="3" t="str">
        <f>"3.000.000,00"</f>
        <v>3.000.000,00</v>
      </c>
      <c r="K40" s="2" t="s">
        <v>48</v>
      </c>
      <c r="L40" s="2" t="s">
        <v>49</v>
      </c>
      <c r="M40" s="2" t="s">
        <v>50</v>
      </c>
      <c r="N40" s="2" t="s">
        <v>23</v>
      </c>
      <c r="O40" s="3" t="str">
        <f>"570.800,00"</f>
        <v>570.800,00</v>
      </c>
      <c r="P40" s="4"/>
    </row>
    <row r="41" spans="2:16" ht="47.25" x14ac:dyDescent="0.25">
      <c r="B41" s="36">
        <v>23</v>
      </c>
      <c r="C41" s="36" t="str">
        <f>"NOS-109/14"</f>
        <v>NOS-109/14</v>
      </c>
      <c r="D41" s="36" t="s">
        <v>16</v>
      </c>
      <c r="E41" s="36" t="s">
        <v>17</v>
      </c>
      <c r="F41" s="36" t="s">
        <v>104</v>
      </c>
      <c r="G41" s="36" t="str">
        <f>"2014-2719"</f>
        <v>2014-2719</v>
      </c>
      <c r="H41" s="36" t="str">
        <f>"2015/S 003-0012854"</f>
        <v>2015/S 003-0012854</v>
      </c>
      <c r="I41" s="36" t="s">
        <v>19</v>
      </c>
      <c r="J41" s="38" t="str">
        <f>"1.500.000,00"</f>
        <v>1.500.000,00</v>
      </c>
      <c r="K41" s="36" t="s">
        <v>105</v>
      </c>
      <c r="L41" s="36" t="s">
        <v>106</v>
      </c>
      <c r="M41" s="6" t="s">
        <v>75</v>
      </c>
      <c r="N41" s="36" t="s">
        <v>23</v>
      </c>
      <c r="O41" s="38" t="str">
        <f>"525.822,48"</f>
        <v>525.822,48</v>
      </c>
      <c r="P41" s="50"/>
    </row>
    <row r="42" spans="2:16" ht="31.5" x14ac:dyDescent="0.25">
      <c r="B42" s="37"/>
      <c r="C42" s="37"/>
      <c r="D42" s="37"/>
      <c r="E42" s="37"/>
      <c r="F42" s="37"/>
      <c r="G42" s="37"/>
      <c r="H42" s="37"/>
      <c r="I42" s="37"/>
      <c r="J42" s="39"/>
      <c r="K42" s="37"/>
      <c r="L42" s="37"/>
      <c r="M42" s="8" t="s">
        <v>107</v>
      </c>
      <c r="N42" s="37"/>
      <c r="O42" s="39"/>
      <c r="P42" s="52"/>
    </row>
    <row r="43" spans="2:16" ht="31.5" x14ac:dyDescent="0.25">
      <c r="B43" s="2">
        <v>24</v>
      </c>
      <c r="C43" s="2" t="str">
        <f>"NOS-124/14"</f>
        <v>NOS-124/14</v>
      </c>
      <c r="D43" s="2" t="s">
        <v>16</v>
      </c>
      <c r="E43" s="2" t="s">
        <v>17</v>
      </c>
      <c r="F43" s="2" t="s">
        <v>108</v>
      </c>
      <c r="G43" s="2" t="str">
        <f>"2014-2786"</f>
        <v>2014-2786</v>
      </c>
      <c r="H43" s="2" t="str">
        <f>"2015/S 003-0031679"</f>
        <v>2015/S 003-0031679</v>
      </c>
      <c r="I43" s="2" t="s">
        <v>19</v>
      </c>
      <c r="J43" s="3" t="str">
        <f>"2.000.000,00"</f>
        <v>2.000.000,00</v>
      </c>
      <c r="K43" s="2" t="s">
        <v>109</v>
      </c>
      <c r="L43" s="2" t="s">
        <v>110</v>
      </c>
      <c r="M43" s="2" t="s">
        <v>111</v>
      </c>
      <c r="N43" s="2" t="s">
        <v>23</v>
      </c>
      <c r="O43" s="3" t="str">
        <f>"0,00"</f>
        <v>0,00</v>
      </c>
      <c r="P43" s="4"/>
    </row>
    <row r="44" spans="2:16" ht="63" x14ac:dyDescent="0.25">
      <c r="B44" s="2">
        <v>25</v>
      </c>
      <c r="C44" s="2" t="str">
        <f>"NOS-6/15"</f>
        <v>NOS-6/15</v>
      </c>
      <c r="D44" s="2" t="s">
        <v>16</v>
      </c>
      <c r="E44" s="2" t="s">
        <v>17</v>
      </c>
      <c r="F44" s="2" t="s">
        <v>112</v>
      </c>
      <c r="G44" s="2" t="str">
        <f>"2015-1"</f>
        <v>2015-1</v>
      </c>
      <c r="H44" s="2" t="str">
        <f>"2015/S 003-0016578"</f>
        <v>2015/S 003-0016578</v>
      </c>
      <c r="I44" s="2" t="s">
        <v>19</v>
      </c>
      <c r="J44" s="3" t="str">
        <f>"1.500.000,00"</f>
        <v>1.500.000,00</v>
      </c>
      <c r="K44" s="2" t="s">
        <v>113</v>
      </c>
      <c r="L44" s="2" t="s">
        <v>114</v>
      </c>
      <c r="M44" s="2" t="s">
        <v>115</v>
      </c>
      <c r="N44" s="2" t="s">
        <v>23</v>
      </c>
      <c r="O44" s="3" t="str">
        <f>"84.100,00"</f>
        <v>84.100,00</v>
      </c>
      <c r="P44" s="4"/>
    </row>
    <row r="45" spans="2:16" ht="78.75" x14ac:dyDescent="0.25">
      <c r="B45" s="2">
        <v>26</v>
      </c>
      <c r="C45" s="2" t="str">
        <f>"NOS-11/15"</f>
        <v>NOS-11/15</v>
      </c>
      <c r="D45" s="2" t="s">
        <v>76</v>
      </c>
      <c r="E45" s="2" t="s">
        <v>17</v>
      </c>
      <c r="F45" s="2" t="s">
        <v>116</v>
      </c>
      <c r="G45" s="2" t="str">
        <f>"2015-8"</f>
        <v>2015-8</v>
      </c>
      <c r="H45" s="2" t="str">
        <f>"2015/S 003-0020714"</f>
        <v>2015/S 003-0020714</v>
      </c>
      <c r="I45" s="2" t="s">
        <v>19</v>
      </c>
      <c r="J45" s="3" t="str">
        <f>"29.000.000,00"</f>
        <v>29.000.000,00</v>
      </c>
      <c r="K45" s="2" t="s">
        <v>117</v>
      </c>
      <c r="L45" s="2" t="s">
        <v>118</v>
      </c>
      <c r="M45" s="2" t="s">
        <v>119</v>
      </c>
      <c r="N45" s="2" t="s">
        <v>23</v>
      </c>
      <c r="O45" s="3" t="str">
        <f>"3.875.050,81"</f>
        <v>3.875.050,81</v>
      </c>
      <c r="P45" s="4"/>
    </row>
    <row r="46" spans="2:16" ht="31.5" x14ac:dyDescent="0.25">
      <c r="B46" s="2">
        <v>27</v>
      </c>
      <c r="C46" s="2" t="str">
        <f>"NOS-8/15"</f>
        <v>NOS-8/15</v>
      </c>
      <c r="D46" s="2" t="s">
        <v>16</v>
      </c>
      <c r="E46" s="2" t="s">
        <v>17</v>
      </c>
      <c r="F46" s="2" t="s">
        <v>120</v>
      </c>
      <c r="G46" s="2" t="str">
        <f>"2015-11"</f>
        <v>2015-11</v>
      </c>
      <c r="H46" s="2" t="str">
        <f>"2015/S 003-0016589"</f>
        <v>2015/S 003-0016589</v>
      </c>
      <c r="I46" s="2" t="s">
        <v>19</v>
      </c>
      <c r="J46" s="3" t="str">
        <f>"1.300.000,00"</f>
        <v>1.300.000,00</v>
      </c>
      <c r="K46" s="2" t="s">
        <v>113</v>
      </c>
      <c r="L46" s="2" t="s">
        <v>121</v>
      </c>
      <c r="M46" s="2" t="s">
        <v>122</v>
      </c>
      <c r="N46" s="2" t="s">
        <v>23</v>
      </c>
      <c r="O46" s="3" t="str">
        <f>"0,00"</f>
        <v>0,00</v>
      </c>
      <c r="P46" s="4"/>
    </row>
    <row r="47" spans="2:16" ht="47.25" x14ac:dyDescent="0.25">
      <c r="B47" s="2">
        <v>28</v>
      </c>
      <c r="C47" s="2" t="str">
        <f>"NOS-12/15"</f>
        <v>NOS-12/15</v>
      </c>
      <c r="D47" s="2" t="s">
        <v>16</v>
      </c>
      <c r="E47" s="2" t="s">
        <v>17</v>
      </c>
      <c r="F47" s="2" t="s">
        <v>123</v>
      </c>
      <c r="G47" s="2" t="str">
        <f>"2015-13"</f>
        <v>2015-13</v>
      </c>
      <c r="H47" s="2" t="str">
        <f>"2015/S 003-0021369"</f>
        <v>2015/S 003-0021369</v>
      </c>
      <c r="I47" s="2" t="s">
        <v>19</v>
      </c>
      <c r="J47" s="3" t="str">
        <f>"1.500.000,00"</f>
        <v>1.500.000,00</v>
      </c>
      <c r="K47" s="2" t="s">
        <v>124</v>
      </c>
      <c r="L47" s="2" t="s">
        <v>125</v>
      </c>
      <c r="M47" s="2" t="s">
        <v>122</v>
      </c>
      <c r="N47" s="2" t="s">
        <v>23</v>
      </c>
      <c r="O47" s="3" t="str">
        <f>"0,00"</f>
        <v>0,00</v>
      </c>
      <c r="P47" s="4"/>
    </row>
    <row r="48" spans="2:16" ht="31.5" x14ac:dyDescent="0.25">
      <c r="B48" s="2">
        <v>29</v>
      </c>
      <c r="C48" s="2" t="str">
        <f>"NOS-7/15"</f>
        <v>NOS-7/15</v>
      </c>
      <c r="D48" s="2" t="s">
        <v>16</v>
      </c>
      <c r="E48" s="2" t="s">
        <v>17</v>
      </c>
      <c r="F48" s="2" t="s">
        <v>126</v>
      </c>
      <c r="G48" s="2" t="str">
        <f>"2015-9"</f>
        <v>2015-9</v>
      </c>
      <c r="H48" s="2" t="str">
        <f>"2015/S 003-0016580"</f>
        <v>2015/S 003-0016580</v>
      </c>
      <c r="I48" s="2" t="s">
        <v>19</v>
      </c>
      <c r="J48" s="3" t="str">
        <f>"1.900.000,00"</f>
        <v>1.900.000,00</v>
      </c>
      <c r="K48" s="2" t="s">
        <v>113</v>
      </c>
      <c r="L48" s="2" t="s">
        <v>121</v>
      </c>
      <c r="M48" s="2" t="s">
        <v>122</v>
      </c>
      <c r="N48" s="2" t="s">
        <v>23</v>
      </c>
      <c r="O48" s="3" t="str">
        <f>"52.740,00"</f>
        <v>52.740,00</v>
      </c>
      <c r="P48" s="4"/>
    </row>
    <row r="49" spans="2:16" ht="78.75" x14ac:dyDescent="0.25">
      <c r="B49" s="2">
        <v>30</v>
      </c>
      <c r="C49" s="2" t="str">
        <f>"NOS-4/15"</f>
        <v>NOS-4/15</v>
      </c>
      <c r="D49" s="2" t="s">
        <v>16</v>
      </c>
      <c r="E49" s="2" t="s">
        <v>17</v>
      </c>
      <c r="F49" s="2" t="s">
        <v>127</v>
      </c>
      <c r="G49" s="2" t="str">
        <f>"2015-12"</f>
        <v>2015-12</v>
      </c>
      <c r="H49" s="2" t="str">
        <f>"2015/S 003-0020559"</f>
        <v>2015/S 003-0020559</v>
      </c>
      <c r="I49" s="2" t="s">
        <v>19</v>
      </c>
      <c r="J49" s="3" t="str">
        <f>"1.400.000,00"</f>
        <v>1.400.000,00</v>
      </c>
      <c r="K49" s="2" t="s">
        <v>128</v>
      </c>
      <c r="L49" s="2" t="s">
        <v>129</v>
      </c>
      <c r="M49" s="2" t="s">
        <v>130</v>
      </c>
      <c r="N49" s="2" t="s">
        <v>23</v>
      </c>
      <c r="O49" s="3" t="str">
        <f>"0,00"</f>
        <v>0,00</v>
      </c>
      <c r="P49" s="4"/>
    </row>
    <row r="50" spans="2:16" ht="47.25" x14ac:dyDescent="0.25">
      <c r="B50" s="2">
        <v>31</v>
      </c>
      <c r="C50" s="2" t="str">
        <f>"NOS-3/15"</f>
        <v>NOS-3/15</v>
      </c>
      <c r="D50" s="2" t="s">
        <v>16</v>
      </c>
      <c r="E50" s="2" t="s">
        <v>17</v>
      </c>
      <c r="F50" s="2" t="s">
        <v>131</v>
      </c>
      <c r="G50" s="2" t="str">
        <f>"2015-10"</f>
        <v>2015-10</v>
      </c>
      <c r="H50" s="2" t="str">
        <f>"2015/S 003-0016562"</f>
        <v>2015/S 003-0016562</v>
      </c>
      <c r="I50" s="2" t="s">
        <v>19</v>
      </c>
      <c r="J50" s="3" t="str">
        <f>"1.200.000,00"</f>
        <v>1.200.000,00</v>
      </c>
      <c r="K50" s="2" t="s">
        <v>132</v>
      </c>
      <c r="L50" s="2" t="s">
        <v>133</v>
      </c>
      <c r="M50" s="2" t="s">
        <v>134</v>
      </c>
      <c r="N50" s="2" t="s">
        <v>23</v>
      </c>
      <c r="O50" s="3" t="str">
        <f>"0,00"</f>
        <v>0,00</v>
      </c>
      <c r="P50" s="4"/>
    </row>
    <row r="51" spans="2:16" ht="63" x14ac:dyDescent="0.25">
      <c r="B51" s="2">
        <v>32</v>
      </c>
      <c r="C51" s="2" t="str">
        <f>"NOS-5/15"</f>
        <v>NOS-5/15</v>
      </c>
      <c r="D51" s="2" t="s">
        <v>16</v>
      </c>
      <c r="E51" s="2" t="s">
        <v>17</v>
      </c>
      <c r="F51" s="2" t="s">
        <v>135</v>
      </c>
      <c r="G51" s="2" t="str">
        <f>"2015-14"</f>
        <v>2015-14</v>
      </c>
      <c r="H51" s="2" t="str">
        <f>" 2015/S 003-0016593"</f>
        <v xml:space="preserve"> 2015/S 003-0016593</v>
      </c>
      <c r="I51" s="2" t="s">
        <v>19</v>
      </c>
      <c r="J51" s="3" t="str">
        <f>"1.200.000,00"</f>
        <v>1.200.000,00</v>
      </c>
      <c r="K51" s="2" t="s">
        <v>136</v>
      </c>
      <c r="L51" s="2" t="s">
        <v>137</v>
      </c>
      <c r="M51" s="2" t="s">
        <v>138</v>
      </c>
      <c r="N51" s="2" t="s">
        <v>23</v>
      </c>
      <c r="O51" s="3" t="str">
        <f>"0,00"</f>
        <v>0,00</v>
      </c>
      <c r="P51" s="4"/>
    </row>
    <row r="52" spans="2:16" ht="47.25" x14ac:dyDescent="0.25">
      <c r="B52" s="2">
        <v>33</v>
      </c>
      <c r="C52" s="2" t="str">
        <f>"NOS-56/15"</f>
        <v>NOS-56/15</v>
      </c>
      <c r="D52" s="2" t="s">
        <v>16</v>
      </c>
      <c r="E52" s="2" t="s">
        <v>17</v>
      </c>
      <c r="F52" s="2" t="s">
        <v>139</v>
      </c>
      <c r="G52" s="2" t="str">
        <f>"2015-15"</f>
        <v>2015-15</v>
      </c>
      <c r="H52" s="2" t="str">
        <f>"2015/S 003-0026768"</f>
        <v>2015/S 003-0026768</v>
      </c>
      <c r="I52" s="2" t="s">
        <v>19</v>
      </c>
      <c r="J52" s="3" t="str">
        <f>"1.400.000,00"</f>
        <v>1.400.000,00</v>
      </c>
      <c r="K52" s="2" t="s">
        <v>140</v>
      </c>
      <c r="L52" s="2" t="s">
        <v>141</v>
      </c>
      <c r="M52" s="2" t="s">
        <v>142</v>
      </c>
      <c r="N52" s="2" t="s">
        <v>23</v>
      </c>
      <c r="O52" s="3" t="str">
        <f>"164.250,00"</f>
        <v>164.250,00</v>
      </c>
      <c r="P52" s="4"/>
    </row>
    <row r="53" spans="2:16" ht="78.75" x14ac:dyDescent="0.25">
      <c r="B53" s="2">
        <v>34</v>
      </c>
      <c r="C53" s="2" t="str">
        <f>"NOS-10/15"</f>
        <v>NOS-10/15</v>
      </c>
      <c r="D53" s="2" t="s">
        <v>16</v>
      </c>
      <c r="E53" s="2" t="s">
        <v>17</v>
      </c>
      <c r="F53" s="2" t="s">
        <v>143</v>
      </c>
      <c r="G53" s="2" t="str">
        <f>"2015-17"</f>
        <v>2015-17</v>
      </c>
      <c r="H53" s="2" t="str">
        <f>"2015/S 003-0020628"</f>
        <v>2015/S 003-0020628</v>
      </c>
      <c r="I53" s="2" t="s">
        <v>19</v>
      </c>
      <c r="J53" s="3" t="str">
        <f>"1.480.000,00"</f>
        <v>1.480.000,00</v>
      </c>
      <c r="K53" s="2" t="s">
        <v>78</v>
      </c>
      <c r="L53" s="2" t="s">
        <v>79</v>
      </c>
      <c r="M53" s="2" t="s">
        <v>144</v>
      </c>
      <c r="N53" s="2" t="s">
        <v>23</v>
      </c>
      <c r="O53" s="3" t="str">
        <f>"422.016,00"</f>
        <v>422.016,00</v>
      </c>
      <c r="P53" s="4"/>
    </row>
    <row r="54" spans="2:16" ht="31.5" x14ac:dyDescent="0.25">
      <c r="B54" s="2">
        <v>35</v>
      </c>
      <c r="C54" s="2" t="str">
        <f>"NOS-20/15"</f>
        <v>NOS-20/15</v>
      </c>
      <c r="D54" s="2" t="s">
        <v>16</v>
      </c>
      <c r="E54" s="2" t="s">
        <v>17</v>
      </c>
      <c r="F54" s="2" t="s">
        <v>145</v>
      </c>
      <c r="G54" s="2" t="str">
        <f>"2015-19"</f>
        <v>2015-19</v>
      </c>
      <c r="H54" s="2" t="str">
        <f>"2015/S 003-0021382"</f>
        <v>2015/S 003-0021382</v>
      </c>
      <c r="I54" s="2" t="s">
        <v>19</v>
      </c>
      <c r="J54" s="3" t="str">
        <f>"450.000,00"</f>
        <v>450.000,00</v>
      </c>
      <c r="K54" s="2" t="s">
        <v>100</v>
      </c>
      <c r="L54" s="2" t="s">
        <v>101</v>
      </c>
      <c r="M54" s="2" t="s">
        <v>146</v>
      </c>
      <c r="N54" s="2" t="s">
        <v>23</v>
      </c>
      <c r="O54" s="3" t="str">
        <f>"46.530,00"</f>
        <v>46.530,00</v>
      </c>
      <c r="P54" s="4"/>
    </row>
    <row r="55" spans="2:16" ht="31.5" x14ac:dyDescent="0.25">
      <c r="B55" s="2">
        <v>36</v>
      </c>
      <c r="C55" s="2" t="str">
        <f>"NOS-2/15"</f>
        <v>NOS-2/15</v>
      </c>
      <c r="D55" s="2" t="s">
        <v>16</v>
      </c>
      <c r="E55" s="2" t="s">
        <v>17</v>
      </c>
      <c r="F55" s="2" t="s">
        <v>147</v>
      </c>
      <c r="G55" s="2" t="str">
        <f>"2015-18"</f>
        <v>2015-18</v>
      </c>
      <c r="H55" s="2" t="str">
        <f>"2015/S 003-0020708"</f>
        <v>2015/S 003-0020708</v>
      </c>
      <c r="I55" s="2" t="s">
        <v>19</v>
      </c>
      <c r="J55" s="3" t="str">
        <f>"1.000.000,00"</f>
        <v>1.000.000,00</v>
      </c>
      <c r="K55" s="2" t="s">
        <v>148</v>
      </c>
      <c r="L55" s="2" t="s">
        <v>149</v>
      </c>
      <c r="M55" s="2" t="s">
        <v>50</v>
      </c>
      <c r="N55" s="2" t="s">
        <v>23</v>
      </c>
      <c r="O55" s="3" t="str">
        <f>"36.963,60"</f>
        <v>36.963,60</v>
      </c>
      <c r="P55" s="4"/>
    </row>
    <row r="56" spans="2:16" ht="31.5" x14ac:dyDescent="0.25">
      <c r="B56" s="36">
        <v>37</v>
      </c>
      <c r="C56" s="36" t="str">
        <f>"NOS-68/15"</f>
        <v>NOS-68/15</v>
      </c>
      <c r="D56" s="36" t="s">
        <v>16</v>
      </c>
      <c r="E56" s="36" t="s">
        <v>17</v>
      </c>
      <c r="F56" s="36" t="s">
        <v>150</v>
      </c>
      <c r="G56" s="36" t="str">
        <f>"2015-2235"</f>
        <v>2015-2235</v>
      </c>
      <c r="H56" s="36" t="str">
        <f>"2015/S 003-0029242"</f>
        <v>2015/S 003-0029242</v>
      </c>
      <c r="I56" s="36" t="s">
        <v>19</v>
      </c>
      <c r="J56" s="38" t="str">
        <f>"800.000,00"</f>
        <v>800.000,00</v>
      </c>
      <c r="K56" s="36" t="s">
        <v>151</v>
      </c>
      <c r="L56" s="36" t="s">
        <v>152</v>
      </c>
      <c r="M56" s="6" t="s">
        <v>111</v>
      </c>
      <c r="N56" s="36" t="s">
        <v>23</v>
      </c>
      <c r="O56" s="38" t="str">
        <f>"58.400,00"</f>
        <v>58.400,00</v>
      </c>
      <c r="P56" s="50"/>
    </row>
    <row r="57" spans="2:16" ht="47.25" x14ac:dyDescent="0.25">
      <c r="B57" s="37"/>
      <c r="C57" s="37"/>
      <c r="D57" s="37"/>
      <c r="E57" s="37"/>
      <c r="F57" s="37"/>
      <c r="G57" s="37"/>
      <c r="H57" s="37"/>
      <c r="I57" s="37"/>
      <c r="J57" s="39"/>
      <c r="K57" s="37"/>
      <c r="L57" s="37"/>
      <c r="M57" s="8" t="s">
        <v>153</v>
      </c>
      <c r="N57" s="37"/>
      <c r="O57" s="39"/>
      <c r="P57" s="52"/>
    </row>
    <row r="58" spans="2:16" ht="63" x14ac:dyDescent="0.25">
      <c r="B58" s="2">
        <v>38</v>
      </c>
      <c r="C58" s="2" t="str">
        <f>"NOS-99-A/15"</f>
        <v>NOS-99-A/15</v>
      </c>
      <c r="D58" s="2" t="s">
        <v>16</v>
      </c>
      <c r="E58" s="2" t="s">
        <v>17</v>
      </c>
      <c r="F58" s="2" t="s">
        <v>154</v>
      </c>
      <c r="G58" s="2" t="str">
        <f>"2015-2236"</f>
        <v>2015-2236</v>
      </c>
      <c r="H58" s="2" t="str">
        <f>"2015/S  003-0030784"</f>
        <v>2015/S  003-0030784</v>
      </c>
      <c r="I58" s="2" t="s">
        <v>19</v>
      </c>
      <c r="J58" s="3" t="str">
        <f>"2.500.000,00"</f>
        <v>2.500.000,00</v>
      </c>
      <c r="K58" s="2" t="s">
        <v>155</v>
      </c>
      <c r="L58" s="2" t="s">
        <v>156</v>
      </c>
      <c r="M58" s="2" t="s">
        <v>62</v>
      </c>
      <c r="N58" s="2" t="s">
        <v>23</v>
      </c>
      <c r="O58" s="3" t="str">
        <f>"244.933,65"</f>
        <v>244.933,65</v>
      </c>
      <c r="P58" s="4"/>
    </row>
    <row r="59" spans="2:16" ht="31.5" x14ac:dyDescent="0.25">
      <c r="B59" s="36">
        <v>39</v>
      </c>
      <c r="C59" s="36" t="str">
        <f>"NOS-60/15"</f>
        <v>NOS-60/15</v>
      </c>
      <c r="D59" s="36" t="s">
        <v>28</v>
      </c>
      <c r="E59" s="36" t="s">
        <v>17</v>
      </c>
      <c r="F59" s="36" t="s">
        <v>157</v>
      </c>
      <c r="G59" s="36" t="str">
        <f>"2015-531"</f>
        <v>2015-531</v>
      </c>
      <c r="H59" s="36" t="str">
        <f>"2015/S 003-0030418"</f>
        <v>2015/S 003-0030418</v>
      </c>
      <c r="I59" s="36" t="s">
        <v>19</v>
      </c>
      <c r="J59" s="38" t="str">
        <f>"850.000,00"</f>
        <v>850.000,00</v>
      </c>
      <c r="K59" s="36" t="s">
        <v>158</v>
      </c>
      <c r="L59" s="36" t="s">
        <v>159</v>
      </c>
      <c r="M59" s="6" t="s">
        <v>84</v>
      </c>
      <c r="N59" s="36" t="s">
        <v>23</v>
      </c>
      <c r="O59" s="38" t="str">
        <f>"72.377,50"</f>
        <v>72.377,50</v>
      </c>
      <c r="P59" s="50"/>
    </row>
    <row r="60" spans="2:16" ht="31.5" x14ac:dyDescent="0.25">
      <c r="B60" s="48"/>
      <c r="C60" s="48"/>
      <c r="D60" s="48"/>
      <c r="E60" s="48"/>
      <c r="F60" s="48"/>
      <c r="G60" s="48"/>
      <c r="H60" s="48"/>
      <c r="I60" s="48"/>
      <c r="J60" s="49"/>
      <c r="K60" s="48"/>
      <c r="L60" s="48"/>
      <c r="M60" s="7" t="s">
        <v>160</v>
      </c>
      <c r="N60" s="48"/>
      <c r="O60" s="49"/>
      <c r="P60" s="51"/>
    </row>
    <row r="61" spans="2:16" ht="47.25" x14ac:dyDescent="0.25">
      <c r="B61" s="37"/>
      <c r="C61" s="37"/>
      <c r="D61" s="37"/>
      <c r="E61" s="37"/>
      <c r="F61" s="37"/>
      <c r="G61" s="37"/>
      <c r="H61" s="37"/>
      <c r="I61" s="37"/>
      <c r="J61" s="39"/>
      <c r="K61" s="37"/>
      <c r="L61" s="37"/>
      <c r="M61" s="8" t="s">
        <v>44</v>
      </c>
      <c r="N61" s="37"/>
      <c r="O61" s="39"/>
      <c r="P61" s="52"/>
    </row>
    <row r="62" spans="2:16" ht="47.25" x14ac:dyDescent="0.25">
      <c r="B62" s="36">
        <v>40</v>
      </c>
      <c r="C62" s="36" t="str">
        <f>"NOS-63-A/15"</f>
        <v>NOS-63-A/15</v>
      </c>
      <c r="D62" s="36" t="s">
        <v>28</v>
      </c>
      <c r="E62" s="36" t="s">
        <v>17</v>
      </c>
      <c r="F62" s="36" t="s">
        <v>161</v>
      </c>
      <c r="G62" s="36" t="str">
        <f>"2015-1222"</f>
        <v>2015-1222</v>
      </c>
      <c r="H62" s="36" t="str">
        <f>"2015/S 003-0027222"</f>
        <v>2015/S 003-0027222</v>
      </c>
      <c r="I62" s="36" t="s">
        <v>19</v>
      </c>
      <c r="J62" s="38" t="str">
        <f>"1.075.000,00"</f>
        <v>1.075.000,00</v>
      </c>
      <c r="K62" s="36" t="s">
        <v>162</v>
      </c>
      <c r="L62" s="36" t="s">
        <v>163</v>
      </c>
      <c r="M62" s="6" t="s">
        <v>164</v>
      </c>
      <c r="N62" s="36" t="s">
        <v>23</v>
      </c>
      <c r="O62" s="38" t="str">
        <f>"37.476,31"</f>
        <v>37.476,31</v>
      </c>
      <c r="P62" s="50"/>
    </row>
    <row r="63" spans="2:16" ht="31.5" x14ac:dyDescent="0.25">
      <c r="B63" s="48"/>
      <c r="C63" s="48"/>
      <c r="D63" s="48"/>
      <c r="E63" s="48"/>
      <c r="F63" s="48"/>
      <c r="G63" s="48"/>
      <c r="H63" s="48"/>
      <c r="I63" s="48"/>
      <c r="J63" s="49"/>
      <c r="K63" s="48"/>
      <c r="L63" s="48"/>
      <c r="M63" s="7" t="s">
        <v>84</v>
      </c>
      <c r="N63" s="48"/>
      <c r="O63" s="49"/>
      <c r="P63" s="51"/>
    </row>
    <row r="64" spans="2:16" ht="47.25" x14ac:dyDescent="0.25">
      <c r="B64" s="37"/>
      <c r="C64" s="37"/>
      <c r="D64" s="37"/>
      <c r="E64" s="37"/>
      <c r="F64" s="37"/>
      <c r="G64" s="37"/>
      <c r="H64" s="37"/>
      <c r="I64" s="37"/>
      <c r="J64" s="39"/>
      <c r="K64" s="37"/>
      <c r="L64" s="37"/>
      <c r="M64" s="8" t="s">
        <v>165</v>
      </c>
      <c r="N64" s="37"/>
      <c r="O64" s="39"/>
      <c r="P64" s="52"/>
    </row>
    <row r="65" spans="2:16" ht="47.25" x14ac:dyDescent="0.25">
      <c r="B65" s="36">
        <v>41</v>
      </c>
      <c r="C65" s="36" t="str">
        <f>"NOS-66/15"</f>
        <v>NOS-66/15</v>
      </c>
      <c r="D65" s="36" t="s">
        <v>16</v>
      </c>
      <c r="E65" s="36" t="s">
        <v>17</v>
      </c>
      <c r="F65" s="36" t="s">
        <v>166</v>
      </c>
      <c r="G65" s="36" t="str">
        <f>"2015-273"</f>
        <v>2015-273</v>
      </c>
      <c r="H65" s="36" t="str">
        <f>"2015/S 003-0027577"</f>
        <v>2015/S 003-0027577</v>
      </c>
      <c r="I65" s="36" t="s">
        <v>19</v>
      </c>
      <c r="J65" s="38" t="str">
        <f>"700.000,00"</f>
        <v>700.000,00</v>
      </c>
      <c r="K65" s="36" t="s">
        <v>167</v>
      </c>
      <c r="L65" s="36" t="s">
        <v>168</v>
      </c>
      <c r="M65" s="6" t="s">
        <v>169</v>
      </c>
      <c r="N65" s="36" t="s">
        <v>23</v>
      </c>
      <c r="O65" s="38" t="str">
        <f>"118.500,00"</f>
        <v>118.500,00</v>
      </c>
      <c r="P65" s="50"/>
    </row>
    <row r="66" spans="2:16" ht="47.25" x14ac:dyDescent="0.25">
      <c r="B66" s="37"/>
      <c r="C66" s="37"/>
      <c r="D66" s="37"/>
      <c r="E66" s="37"/>
      <c r="F66" s="37"/>
      <c r="G66" s="37"/>
      <c r="H66" s="37"/>
      <c r="I66" s="37"/>
      <c r="J66" s="39"/>
      <c r="K66" s="37"/>
      <c r="L66" s="37"/>
      <c r="M66" s="8" t="s">
        <v>170</v>
      </c>
      <c r="N66" s="37"/>
      <c r="O66" s="39"/>
      <c r="P66" s="52"/>
    </row>
    <row r="67" spans="2:16" ht="47.25" x14ac:dyDescent="0.25">
      <c r="B67" s="36">
        <v>42</v>
      </c>
      <c r="C67" s="36" t="str">
        <f>"NOS-106/15"</f>
        <v>NOS-106/15</v>
      </c>
      <c r="D67" s="36" t="s">
        <v>85</v>
      </c>
      <c r="E67" s="36" t="s">
        <v>17</v>
      </c>
      <c r="F67" s="36" t="s">
        <v>171</v>
      </c>
      <c r="G67" s="36" t="str">
        <f>"2015-2237"</f>
        <v>2015-2237</v>
      </c>
      <c r="H67" s="36" t="str">
        <f>"2015/S 003-0038301"</f>
        <v>2015/S 003-0038301</v>
      </c>
      <c r="I67" s="36" t="s">
        <v>19</v>
      </c>
      <c r="J67" s="38" t="str">
        <f>"500.000,00"</f>
        <v>500.000,00</v>
      </c>
      <c r="K67" s="36" t="s">
        <v>172</v>
      </c>
      <c r="L67" s="36" t="s">
        <v>173</v>
      </c>
      <c r="M67" s="6" t="s">
        <v>174</v>
      </c>
      <c r="N67" s="36" t="s">
        <v>23</v>
      </c>
      <c r="O67" s="38" t="str">
        <f>"167.454,34"</f>
        <v>167.454,34</v>
      </c>
      <c r="P67" s="50"/>
    </row>
    <row r="68" spans="2:16" ht="31.5" x14ac:dyDescent="0.25">
      <c r="B68" s="48"/>
      <c r="C68" s="48"/>
      <c r="D68" s="48"/>
      <c r="E68" s="48"/>
      <c r="F68" s="48"/>
      <c r="G68" s="48"/>
      <c r="H68" s="48"/>
      <c r="I68" s="48"/>
      <c r="J68" s="49"/>
      <c r="K68" s="48"/>
      <c r="L68" s="48"/>
      <c r="M68" s="7" t="s">
        <v>175</v>
      </c>
      <c r="N68" s="48"/>
      <c r="O68" s="49"/>
      <c r="P68" s="51"/>
    </row>
    <row r="69" spans="2:16" ht="31.5" x14ac:dyDescent="0.25">
      <c r="B69" s="37"/>
      <c r="C69" s="37"/>
      <c r="D69" s="37"/>
      <c r="E69" s="37"/>
      <c r="F69" s="37"/>
      <c r="G69" s="37"/>
      <c r="H69" s="37"/>
      <c r="I69" s="37"/>
      <c r="J69" s="39"/>
      <c r="K69" s="37"/>
      <c r="L69" s="37"/>
      <c r="M69" s="8" t="s">
        <v>176</v>
      </c>
      <c r="N69" s="37"/>
      <c r="O69" s="39"/>
      <c r="P69" s="52"/>
    </row>
    <row r="70" spans="2:16" ht="47.25" x14ac:dyDescent="0.25">
      <c r="B70" s="36">
        <v>43</v>
      </c>
      <c r="C70" s="36" t="str">
        <f>"NOS-90/15"</f>
        <v>NOS-90/15</v>
      </c>
      <c r="D70" s="36" t="s">
        <v>28</v>
      </c>
      <c r="E70" s="36" t="s">
        <v>17</v>
      </c>
      <c r="F70" s="36" t="s">
        <v>177</v>
      </c>
      <c r="G70" s="36" t="str">
        <f>"2015-2277"</f>
        <v>2015-2277</v>
      </c>
      <c r="H70" s="36" t="str">
        <f>"2015/S 003-0038569"</f>
        <v>2015/S 003-0038569</v>
      </c>
      <c r="I70" s="36" t="s">
        <v>19</v>
      </c>
      <c r="J70" s="38" t="str">
        <f>"1.500.000,00"</f>
        <v>1.500.000,00</v>
      </c>
      <c r="K70" s="36" t="s">
        <v>178</v>
      </c>
      <c r="L70" s="36" t="s">
        <v>179</v>
      </c>
      <c r="M70" s="6" t="s">
        <v>89</v>
      </c>
      <c r="N70" s="36" t="s">
        <v>23</v>
      </c>
      <c r="O70" s="38" t="str">
        <f>"139.539,80"</f>
        <v>139.539,80</v>
      </c>
      <c r="P70" s="50"/>
    </row>
    <row r="71" spans="2:16" ht="47.25" x14ac:dyDescent="0.25">
      <c r="B71" s="48"/>
      <c r="C71" s="48"/>
      <c r="D71" s="48"/>
      <c r="E71" s="48"/>
      <c r="F71" s="48"/>
      <c r="G71" s="48"/>
      <c r="H71" s="48"/>
      <c r="I71" s="48"/>
      <c r="J71" s="49"/>
      <c r="K71" s="48"/>
      <c r="L71" s="48"/>
      <c r="M71" s="7" t="s">
        <v>180</v>
      </c>
      <c r="N71" s="48"/>
      <c r="O71" s="49"/>
      <c r="P71" s="51"/>
    </row>
    <row r="72" spans="2:16" ht="47.25" x14ac:dyDescent="0.25">
      <c r="B72" s="37"/>
      <c r="C72" s="37"/>
      <c r="D72" s="37"/>
      <c r="E72" s="37"/>
      <c r="F72" s="37"/>
      <c r="G72" s="37"/>
      <c r="H72" s="37"/>
      <c r="I72" s="37"/>
      <c r="J72" s="39"/>
      <c r="K72" s="37"/>
      <c r="L72" s="37"/>
      <c r="M72" s="8" t="s">
        <v>44</v>
      </c>
      <c r="N72" s="37"/>
      <c r="O72" s="39"/>
      <c r="P72" s="52"/>
    </row>
    <row r="73" spans="2:16" ht="31.5" x14ac:dyDescent="0.25">
      <c r="B73" s="36">
        <v>44</v>
      </c>
      <c r="C73" s="36" t="str">
        <f>"NOS-97-A/15"</f>
        <v>NOS-97-A/15</v>
      </c>
      <c r="D73" s="36" t="s">
        <v>28</v>
      </c>
      <c r="E73" s="36" t="s">
        <v>17</v>
      </c>
      <c r="F73" s="36" t="s">
        <v>181</v>
      </c>
      <c r="G73" s="36" t="str">
        <f>"2015-1896"</f>
        <v>2015-1896</v>
      </c>
      <c r="H73" s="36" t="str">
        <f>"2015/S 003-0034132"</f>
        <v>2015/S 003-0034132</v>
      </c>
      <c r="I73" s="36" t="s">
        <v>19</v>
      </c>
      <c r="J73" s="38" t="str">
        <f>"170.000,00"</f>
        <v>170.000,00</v>
      </c>
      <c r="K73" s="36" t="s">
        <v>182</v>
      </c>
      <c r="L73" s="36" t="s">
        <v>183</v>
      </c>
      <c r="M73" s="6" t="s">
        <v>184</v>
      </c>
      <c r="N73" s="36" t="s">
        <v>23</v>
      </c>
      <c r="O73" s="38" t="str">
        <f>"83.909,00"</f>
        <v>83.909,00</v>
      </c>
      <c r="P73" s="50"/>
    </row>
    <row r="74" spans="2:16" ht="47.25" x14ac:dyDescent="0.25">
      <c r="B74" s="48"/>
      <c r="C74" s="48"/>
      <c r="D74" s="48"/>
      <c r="E74" s="48"/>
      <c r="F74" s="48"/>
      <c r="G74" s="48"/>
      <c r="H74" s="48"/>
      <c r="I74" s="48"/>
      <c r="J74" s="49"/>
      <c r="K74" s="48"/>
      <c r="L74" s="48"/>
      <c r="M74" s="7" t="s">
        <v>44</v>
      </c>
      <c r="N74" s="48"/>
      <c r="O74" s="49"/>
      <c r="P74" s="51"/>
    </row>
    <row r="75" spans="2:16" ht="31.5" x14ac:dyDescent="0.25">
      <c r="B75" s="37"/>
      <c r="C75" s="37"/>
      <c r="D75" s="37"/>
      <c r="E75" s="37"/>
      <c r="F75" s="37"/>
      <c r="G75" s="37"/>
      <c r="H75" s="37"/>
      <c r="I75" s="37"/>
      <c r="J75" s="39"/>
      <c r="K75" s="37"/>
      <c r="L75" s="37"/>
      <c r="M75" s="8" t="s">
        <v>84</v>
      </c>
      <c r="N75" s="37"/>
      <c r="O75" s="39"/>
      <c r="P75" s="52"/>
    </row>
    <row r="76" spans="2:16" ht="31.5" x14ac:dyDescent="0.25">
      <c r="B76" s="36">
        <v>45</v>
      </c>
      <c r="C76" s="36" t="str">
        <f>"NOS-92-A/15"</f>
        <v>NOS-92-A/15</v>
      </c>
      <c r="D76" s="36" t="s">
        <v>16</v>
      </c>
      <c r="E76" s="36" t="s">
        <v>17</v>
      </c>
      <c r="F76" s="36" t="s">
        <v>185</v>
      </c>
      <c r="G76" s="36" t="str">
        <f>"2015-358"</f>
        <v>2015-358</v>
      </c>
      <c r="H76" s="36" t="str">
        <f>" 2015/S 003-0032801"</f>
        <v xml:space="preserve"> 2015/S 003-0032801</v>
      </c>
      <c r="I76" s="36" t="s">
        <v>19</v>
      </c>
      <c r="J76" s="38" t="str">
        <f>"200.000,00"</f>
        <v>200.000,00</v>
      </c>
      <c r="K76" s="36" t="s">
        <v>178</v>
      </c>
      <c r="L76" s="36" t="s">
        <v>179</v>
      </c>
      <c r="M76" s="6" t="s">
        <v>186</v>
      </c>
      <c r="N76" s="36" t="s">
        <v>23</v>
      </c>
      <c r="O76" s="38" t="str">
        <f>"31.800,00"</f>
        <v>31.800,00</v>
      </c>
      <c r="P76" s="50"/>
    </row>
    <row r="77" spans="2:16" ht="31.5" x14ac:dyDescent="0.25">
      <c r="B77" s="37"/>
      <c r="C77" s="37"/>
      <c r="D77" s="37"/>
      <c r="E77" s="37"/>
      <c r="F77" s="37"/>
      <c r="G77" s="37"/>
      <c r="H77" s="37"/>
      <c r="I77" s="37"/>
      <c r="J77" s="39"/>
      <c r="K77" s="37"/>
      <c r="L77" s="37"/>
      <c r="M77" s="8" t="s">
        <v>187</v>
      </c>
      <c r="N77" s="37"/>
      <c r="O77" s="39"/>
      <c r="P77" s="52"/>
    </row>
    <row r="78" spans="2:16" ht="31.5" x14ac:dyDescent="0.25">
      <c r="B78" s="36">
        <v>46</v>
      </c>
      <c r="C78" s="36" t="str">
        <f>"NOS-31/15"</f>
        <v>NOS-31/15</v>
      </c>
      <c r="D78" s="36" t="s">
        <v>188</v>
      </c>
      <c r="E78" s="36" t="s">
        <v>17</v>
      </c>
      <c r="F78" s="36" t="s">
        <v>189</v>
      </c>
      <c r="G78" s="36" t="str">
        <f>"2015-297"</f>
        <v>2015-297</v>
      </c>
      <c r="H78" s="36" t="str">
        <f>"2015/S 003-0024449"</f>
        <v>2015/S 003-0024449</v>
      </c>
      <c r="I78" s="36" t="s">
        <v>19</v>
      </c>
      <c r="J78" s="38" t="str">
        <f>"900.000,00"</f>
        <v>900.000,00</v>
      </c>
      <c r="K78" s="36" t="s">
        <v>82</v>
      </c>
      <c r="L78" s="36" t="s">
        <v>190</v>
      </c>
      <c r="M78" s="6" t="s">
        <v>191</v>
      </c>
      <c r="N78" s="36" t="s">
        <v>23</v>
      </c>
      <c r="O78" s="38" t="str">
        <f>"0,00"</f>
        <v>0,00</v>
      </c>
      <c r="P78" s="50"/>
    </row>
    <row r="79" spans="2:16" ht="31.5" x14ac:dyDescent="0.25">
      <c r="B79" s="48"/>
      <c r="C79" s="48"/>
      <c r="D79" s="48"/>
      <c r="E79" s="48"/>
      <c r="F79" s="48"/>
      <c r="G79" s="48"/>
      <c r="H79" s="48"/>
      <c r="I79" s="48"/>
      <c r="J79" s="49"/>
      <c r="K79" s="48"/>
      <c r="L79" s="48"/>
      <c r="M79" s="7" t="s">
        <v>192</v>
      </c>
      <c r="N79" s="48"/>
      <c r="O79" s="49"/>
      <c r="P79" s="51"/>
    </row>
    <row r="80" spans="2:16" ht="31.5" x14ac:dyDescent="0.25">
      <c r="B80" s="37"/>
      <c r="C80" s="37"/>
      <c r="D80" s="37"/>
      <c r="E80" s="37"/>
      <c r="F80" s="37"/>
      <c r="G80" s="37"/>
      <c r="H80" s="37"/>
      <c r="I80" s="37"/>
      <c r="J80" s="39"/>
      <c r="K80" s="37"/>
      <c r="L80" s="37"/>
      <c r="M80" s="8" t="s">
        <v>193</v>
      </c>
      <c r="N80" s="37"/>
      <c r="O80" s="39"/>
      <c r="P80" s="52"/>
    </row>
    <row r="81" spans="2:16" ht="47.25" x14ac:dyDescent="0.25">
      <c r="B81" s="2">
        <v>47</v>
      </c>
      <c r="C81" s="2" t="str">
        <f>"NOS-36/15"</f>
        <v>NOS-36/15</v>
      </c>
      <c r="D81" s="2" t="s">
        <v>16</v>
      </c>
      <c r="E81" s="2" t="s">
        <v>17</v>
      </c>
      <c r="F81" s="2" t="s">
        <v>194</v>
      </c>
      <c r="G81" s="2" t="str">
        <f>"2015-765"</f>
        <v>2015-765</v>
      </c>
      <c r="H81" s="2" t="str">
        <f>"2015/S 003-0027607"</f>
        <v>2015/S 003-0027607</v>
      </c>
      <c r="I81" s="2" t="s">
        <v>19</v>
      </c>
      <c r="J81" s="3" t="str">
        <f>"9.500.000,00"</f>
        <v>9.500.000,00</v>
      </c>
      <c r="K81" s="2" t="s">
        <v>195</v>
      </c>
      <c r="L81" s="2" t="s">
        <v>196</v>
      </c>
      <c r="M81" s="2" t="s">
        <v>197</v>
      </c>
      <c r="N81" s="2" t="s">
        <v>23</v>
      </c>
      <c r="O81" s="3" t="str">
        <f>"199.000,00"</f>
        <v>199.000,00</v>
      </c>
      <c r="P81" s="4"/>
    </row>
    <row r="82" spans="2:16" ht="47.25" x14ac:dyDescent="0.25">
      <c r="B82" s="2">
        <v>48</v>
      </c>
      <c r="C82" s="2" t="str">
        <f>"NOS-40/15"</f>
        <v>NOS-40/15</v>
      </c>
      <c r="D82" s="2" t="s">
        <v>16</v>
      </c>
      <c r="E82" s="2" t="s">
        <v>17</v>
      </c>
      <c r="F82" s="2" t="s">
        <v>198</v>
      </c>
      <c r="G82" s="2" t="str">
        <f>"2015-766"</f>
        <v>2015-766</v>
      </c>
      <c r="H82" s="2" t="str">
        <f>"2015/S 003-0027177"</f>
        <v>2015/S 003-0027177</v>
      </c>
      <c r="I82" s="2" t="s">
        <v>19</v>
      </c>
      <c r="J82" s="3" t="str">
        <f>"9.300.000,00"</f>
        <v>9.300.000,00</v>
      </c>
      <c r="K82" s="2" t="s">
        <v>199</v>
      </c>
      <c r="L82" s="2" t="s">
        <v>200</v>
      </c>
      <c r="M82" s="2" t="s">
        <v>201</v>
      </c>
      <c r="N82" s="2" t="s">
        <v>23</v>
      </c>
      <c r="O82" s="3" t="str">
        <f>"1.361.800,00"</f>
        <v>1.361.800,00</v>
      </c>
      <c r="P82" s="4"/>
    </row>
    <row r="83" spans="2:16" ht="47.25" x14ac:dyDescent="0.25">
      <c r="B83" s="2">
        <v>49</v>
      </c>
      <c r="C83" s="2" t="str">
        <f>"NOS-38/15"</f>
        <v>NOS-38/15</v>
      </c>
      <c r="D83" s="2" t="s">
        <v>16</v>
      </c>
      <c r="E83" s="2" t="s">
        <v>17</v>
      </c>
      <c r="F83" s="2" t="s">
        <v>202</v>
      </c>
      <c r="G83" s="2" t="str">
        <f>"2015-963"</f>
        <v>2015-963</v>
      </c>
      <c r="H83" s="2" t="str">
        <f>"2015/S 003-0027124"</f>
        <v>2015/S 003-0027124</v>
      </c>
      <c r="I83" s="2" t="s">
        <v>19</v>
      </c>
      <c r="J83" s="3" t="str">
        <f>"6.000.000,00"</f>
        <v>6.000.000,00</v>
      </c>
      <c r="K83" s="2" t="s">
        <v>203</v>
      </c>
      <c r="L83" s="2" t="s">
        <v>204</v>
      </c>
      <c r="M83" s="2" t="s">
        <v>205</v>
      </c>
      <c r="N83" s="2" t="s">
        <v>23</v>
      </c>
      <c r="O83" s="3" t="str">
        <f>"0,00"</f>
        <v>0,00</v>
      </c>
      <c r="P83" s="4"/>
    </row>
    <row r="84" spans="2:16" ht="47.25" x14ac:dyDescent="0.25">
      <c r="B84" s="36">
        <v>50</v>
      </c>
      <c r="C84" s="36" t="str">
        <f>"NOS-94/15"</f>
        <v>NOS-94/15</v>
      </c>
      <c r="D84" s="36" t="s">
        <v>16</v>
      </c>
      <c r="E84" s="36" t="s">
        <v>17</v>
      </c>
      <c r="F84" s="36" t="s">
        <v>206</v>
      </c>
      <c r="G84" s="36" t="str">
        <f>"2015-2187"</f>
        <v>2015-2187</v>
      </c>
      <c r="H84" s="36" t="str">
        <f>"2015/S 003-0031773"</f>
        <v>2015/S 003-0031773</v>
      </c>
      <c r="I84" s="36" t="s">
        <v>19</v>
      </c>
      <c r="J84" s="38" t="str">
        <f>"26.000.000,00"</f>
        <v>26.000.000,00</v>
      </c>
      <c r="K84" s="36" t="s">
        <v>207</v>
      </c>
      <c r="L84" s="36" t="s">
        <v>208</v>
      </c>
      <c r="M84" s="6" t="s">
        <v>209</v>
      </c>
      <c r="N84" s="36" t="s">
        <v>23</v>
      </c>
      <c r="O84" s="38" t="str">
        <f>"383.405,56"</f>
        <v>383.405,56</v>
      </c>
      <c r="P84" s="50"/>
    </row>
    <row r="85" spans="2:16" ht="31.5" x14ac:dyDescent="0.25">
      <c r="B85" s="48"/>
      <c r="C85" s="48"/>
      <c r="D85" s="48"/>
      <c r="E85" s="48"/>
      <c r="F85" s="48"/>
      <c r="G85" s="48"/>
      <c r="H85" s="48"/>
      <c r="I85" s="48"/>
      <c r="J85" s="49"/>
      <c r="K85" s="48"/>
      <c r="L85" s="48"/>
      <c r="M85" s="7" t="s">
        <v>210</v>
      </c>
      <c r="N85" s="48"/>
      <c r="O85" s="49"/>
      <c r="P85" s="51"/>
    </row>
    <row r="86" spans="2:16" ht="47.25" x14ac:dyDescent="0.25">
      <c r="B86" s="37"/>
      <c r="C86" s="37"/>
      <c r="D86" s="37"/>
      <c r="E86" s="37"/>
      <c r="F86" s="37"/>
      <c r="G86" s="37"/>
      <c r="H86" s="37"/>
      <c r="I86" s="37"/>
      <c r="J86" s="39"/>
      <c r="K86" s="37"/>
      <c r="L86" s="37"/>
      <c r="M86" s="8" t="s">
        <v>98</v>
      </c>
      <c r="N86" s="37"/>
      <c r="O86" s="39"/>
      <c r="P86" s="52"/>
    </row>
    <row r="87" spans="2:16" ht="47.25" x14ac:dyDescent="0.25">
      <c r="B87" s="2">
        <v>51</v>
      </c>
      <c r="C87" s="2" t="str">
        <f>"NOS-62/15"</f>
        <v>NOS-62/15</v>
      </c>
      <c r="D87" s="2" t="s">
        <v>28</v>
      </c>
      <c r="E87" s="2" t="s">
        <v>17</v>
      </c>
      <c r="F87" s="2" t="s">
        <v>211</v>
      </c>
      <c r="G87" s="2" t="str">
        <f>"2015-1947"</f>
        <v>2015-1947</v>
      </c>
      <c r="H87" s="2" t="str">
        <f>"2015/S 003-0030387"</f>
        <v>2015/S 003-0030387</v>
      </c>
      <c r="I87" s="2" t="s">
        <v>19</v>
      </c>
      <c r="J87" s="3" t="str">
        <f>"62.000.000,00"</f>
        <v>62.000.000,00</v>
      </c>
      <c r="K87" s="2" t="s">
        <v>162</v>
      </c>
      <c r="L87" s="2" t="s">
        <v>212</v>
      </c>
      <c r="M87" s="2" t="s">
        <v>213</v>
      </c>
      <c r="N87" s="2" t="s">
        <v>23</v>
      </c>
      <c r="O87" s="3" t="str">
        <f>"579.829,11"</f>
        <v>579.829,11</v>
      </c>
      <c r="P87" s="4"/>
    </row>
    <row r="88" spans="2:16" ht="110.25" x14ac:dyDescent="0.25">
      <c r="B88" s="2">
        <v>52</v>
      </c>
      <c r="C88" s="2" t="str">
        <f>"NOS-75-A/15"</f>
        <v>NOS-75-A/15</v>
      </c>
      <c r="D88" s="2" t="s">
        <v>214</v>
      </c>
      <c r="E88" s="2" t="s">
        <v>17</v>
      </c>
      <c r="F88" s="2" t="s">
        <v>215</v>
      </c>
      <c r="G88" s="2" t="str">
        <f>"2015-84"</f>
        <v>2015-84</v>
      </c>
      <c r="H88" s="2" t="str">
        <f>"2015/S 003-0038323"</f>
        <v>2015/S 003-0038323</v>
      </c>
      <c r="I88" s="2" t="s">
        <v>19</v>
      </c>
      <c r="J88" s="3" t="str">
        <f>"11.103.152,00"</f>
        <v>11.103.152,00</v>
      </c>
      <c r="K88" s="2" t="s">
        <v>216</v>
      </c>
      <c r="L88" s="2" t="s">
        <v>217</v>
      </c>
      <c r="M88" s="2" t="s">
        <v>218</v>
      </c>
      <c r="N88" s="2" t="s">
        <v>23</v>
      </c>
      <c r="O88" s="3" t="str">
        <f>"2.296.284,00"</f>
        <v>2.296.284,00</v>
      </c>
      <c r="P88" s="4"/>
    </row>
    <row r="89" spans="2:16" ht="63" x14ac:dyDescent="0.25">
      <c r="B89" s="2">
        <v>53</v>
      </c>
      <c r="C89" s="2" t="str">
        <f>"NOS-41/15"</f>
        <v>NOS-41/15</v>
      </c>
      <c r="D89" s="2" t="s">
        <v>16</v>
      </c>
      <c r="E89" s="2" t="s">
        <v>17</v>
      </c>
      <c r="F89" s="2" t="s">
        <v>219</v>
      </c>
      <c r="G89" s="2" t="str">
        <f>"2015-293"</f>
        <v>2015-293</v>
      </c>
      <c r="H89" s="2" t="str">
        <f>"2015/S 003-0024439"</f>
        <v>2015/S 003-0024439</v>
      </c>
      <c r="I89" s="2" t="s">
        <v>19</v>
      </c>
      <c r="J89" s="3" t="str">
        <f>"6.500.000,00"</f>
        <v>6.500.000,00</v>
      </c>
      <c r="K89" s="2" t="s">
        <v>59</v>
      </c>
      <c r="L89" s="2" t="s">
        <v>60</v>
      </c>
      <c r="M89" s="2" t="s">
        <v>220</v>
      </c>
      <c r="N89" s="2" t="s">
        <v>23</v>
      </c>
      <c r="O89" s="3" t="str">
        <f>"859.098,98"</f>
        <v>859.098,98</v>
      </c>
      <c r="P89" s="4"/>
    </row>
    <row r="90" spans="2:16" ht="126" x14ac:dyDescent="0.25">
      <c r="B90" s="2">
        <v>54</v>
      </c>
      <c r="C90" s="2" t="str">
        <f>"NOS-55/15"</f>
        <v>NOS-55/15</v>
      </c>
      <c r="D90" s="2" t="s">
        <v>221</v>
      </c>
      <c r="E90" s="2" t="s">
        <v>17</v>
      </c>
      <c r="F90" s="2" t="s">
        <v>222</v>
      </c>
      <c r="G90" s="2" t="str">
        <f>"2015-2201"</f>
        <v>2015-2201</v>
      </c>
      <c r="H90" s="2" t="str">
        <f>"2015/S 003-0027597"</f>
        <v>2015/S 003-0027597</v>
      </c>
      <c r="I90" s="2" t="s">
        <v>19</v>
      </c>
      <c r="J90" s="3" t="str">
        <f>"12.500.000,00"</f>
        <v>12.500.000,00</v>
      </c>
      <c r="K90" s="2" t="s">
        <v>203</v>
      </c>
      <c r="L90" s="2" t="s">
        <v>204</v>
      </c>
      <c r="M90" s="2" t="s">
        <v>223</v>
      </c>
      <c r="N90" s="2" t="s">
        <v>23</v>
      </c>
      <c r="O90" s="3" t="str">
        <f>"276.703,82"</f>
        <v>276.703,82</v>
      </c>
      <c r="P90" s="4"/>
    </row>
    <row r="91" spans="2:16" ht="47.25" x14ac:dyDescent="0.25">
      <c r="B91" s="2">
        <v>55</v>
      </c>
      <c r="C91" s="2" t="str">
        <f>"NOS-57/15"</f>
        <v>NOS-57/15</v>
      </c>
      <c r="D91" s="2" t="s">
        <v>16</v>
      </c>
      <c r="E91" s="2" t="s">
        <v>17</v>
      </c>
      <c r="F91" s="2" t="s">
        <v>224</v>
      </c>
      <c r="G91" s="2" t="str">
        <f>"2015-105"</f>
        <v>2015-105</v>
      </c>
      <c r="H91" s="2" t="str">
        <f>"2015/S 003-0029062"</f>
        <v>2015/S 003-0029062</v>
      </c>
      <c r="I91" s="2" t="s">
        <v>19</v>
      </c>
      <c r="J91" s="3" t="str">
        <f>"2.000.000,00"</f>
        <v>2.000.000,00</v>
      </c>
      <c r="K91" s="2" t="s">
        <v>225</v>
      </c>
      <c r="L91" s="2" t="s">
        <v>226</v>
      </c>
      <c r="M91" s="2" t="s">
        <v>227</v>
      </c>
      <c r="N91" s="2" t="s">
        <v>23</v>
      </c>
      <c r="O91" s="3" t="str">
        <f>"902.367,60"</f>
        <v>902.367,60</v>
      </c>
      <c r="P91" s="4"/>
    </row>
    <row r="92" spans="2:16" ht="31.5" x14ac:dyDescent="0.25">
      <c r="B92" s="36">
        <v>56</v>
      </c>
      <c r="C92" s="36" t="str">
        <f>"NOS-49/15"</f>
        <v>NOS-49/15</v>
      </c>
      <c r="D92" s="36" t="s">
        <v>16</v>
      </c>
      <c r="E92" s="36" t="s">
        <v>17</v>
      </c>
      <c r="F92" s="36" t="s">
        <v>228</v>
      </c>
      <c r="G92" s="36" t="str">
        <f>"2015-2207"</f>
        <v>2015-2207</v>
      </c>
      <c r="H92" s="36" t="str">
        <f>"2015/S 003-0026949"</f>
        <v>2015/S 003-0026949</v>
      </c>
      <c r="I92" s="36" t="s">
        <v>19</v>
      </c>
      <c r="J92" s="38" t="str">
        <f>"600.000,00"</f>
        <v>600.000,00</v>
      </c>
      <c r="K92" s="36" t="s">
        <v>203</v>
      </c>
      <c r="L92" s="36" t="s">
        <v>204</v>
      </c>
      <c r="M92" s="6" t="s">
        <v>229</v>
      </c>
      <c r="N92" s="36" t="s">
        <v>23</v>
      </c>
      <c r="O92" s="38" t="str">
        <f>"0,00"</f>
        <v>0,00</v>
      </c>
      <c r="P92" s="50"/>
    </row>
    <row r="93" spans="2:16" ht="31.5" x14ac:dyDescent="0.25">
      <c r="B93" s="48"/>
      <c r="C93" s="48"/>
      <c r="D93" s="48"/>
      <c r="E93" s="48"/>
      <c r="F93" s="48"/>
      <c r="G93" s="48"/>
      <c r="H93" s="48"/>
      <c r="I93" s="48"/>
      <c r="J93" s="49"/>
      <c r="K93" s="48"/>
      <c r="L93" s="48"/>
      <c r="M93" s="7" t="s">
        <v>230</v>
      </c>
      <c r="N93" s="48"/>
      <c r="O93" s="49"/>
      <c r="P93" s="51"/>
    </row>
    <row r="94" spans="2:16" ht="31.5" x14ac:dyDescent="0.25">
      <c r="B94" s="37"/>
      <c r="C94" s="37"/>
      <c r="D94" s="37"/>
      <c r="E94" s="37"/>
      <c r="F94" s="37"/>
      <c r="G94" s="37"/>
      <c r="H94" s="37"/>
      <c r="I94" s="37"/>
      <c r="J94" s="39"/>
      <c r="K94" s="37"/>
      <c r="L94" s="37"/>
      <c r="M94" s="8" t="s">
        <v>111</v>
      </c>
      <c r="N94" s="37"/>
      <c r="O94" s="39"/>
      <c r="P94" s="52"/>
    </row>
    <row r="95" spans="2:16" ht="63" x14ac:dyDescent="0.25">
      <c r="B95" s="2">
        <v>57</v>
      </c>
      <c r="C95" s="2" t="str">
        <f>"NOS-82-D/15"</f>
        <v>NOS-82-D/15</v>
      </c>
      <c r="D95" s="2" t="s">
        <v>16</v>
      </c>
      <c r="E95" s="2" t="s">
        <v>17</v>
      </c>
      <c r="F95" s="2" t="s">
        <v>231</v>
      </c>
      <c r="G95" s="2" t="str">
        <f>"2015-2197"</f>
        <v>2015-2197</v>
      </c>
      <c r="H95" s="2" t="str">
        <f>"2015/S 003-0030364"</f>
        <v>2015/S 003-0030364</v>
      </c>
      <c r="I95" s="2" t="s">
        <v>19</v>
      </c>
      <c r="J95" s="3" t="str">
        <f>"4.500.000,00"</f>
        <v>4.500.000,00</v>
      </c>
      <c r="K95" s="2" t="s">
        <v>232</v>
      </c>
      <c r="L95" s="2" t="s">
        <v>233</v>
      </c>
      <c r="M95" s="2" t="s">
        <v>234</v>
      </c>
      <c r="N95" s="2" t="s">
        <v>23</v>
      </c>
      <c r="O95" s="3" t="str">
        <f>"648.578,90"</f>
        <v>648.578,90</v>
      </c>
      <c r="P95" s="4"/>
    </row>
    <row r="96" spans="2:16" ht="47.25" x14ac:dyDescent="0.25">
      <c r="B96" s="36">
        <v>58</v>
      </c>
      <c r="C96" s="36" t="str">
        <f>"NOS-58/15"</f>
        <v>NOS-58/15</v>
      </c>
      <c r="D96" s="36" t="s">
        <v>16</v>
      </c>
      <c r="E96" s="36" t="s">
        <v>17</v>
      </c>
      <c r="F96" s="36" t="s">
        <v>235</v>
      </c>
      <c r="G96" s="36" t="str">
        <f>"2015-386"</f>
        <v>2015-386</v>
      </c>
      <c r="H96" s="36" t="str">
        <f>"2015/S 003-0027309"</f>
        <v>2015/S 003-0027309</v>
      </c>
      <c r="I96" s="36" t="s">
        <v>19</v>
      </c>
      <c r="J96" s="38" t="str">
        <f>"2.500.000,00"</f>
        <v>2.500.000,00</v>
      </c>
      <c r="K96" s="36" t="s">
        <v>158</v>
      </c>
      <c r="L96" s="36" t="s">
        <v>159</v>
      </c>
      <c r="M96" s="6" t="s">
        <v>236</v>
      </c>
      <c r="N96" s="36" t="s">
        <v>23</v>
      </c>
      <c r="O96" s="38" t="str">
        <f>"0,00"</f>
        <v>0,00</v>
      </c>
      <c r="P96" s="50"/>
    </row>
    <row r="97" spans="2:16" ht="47.25" x14ac:dyDescent="0.25">
      <c r="B97" s="48"/>
      <c r="C97" s="48"/>
      <c r="D97" s="48"/>
      <c r="E97" s="48"/>
      <c r="F97" s="48"/>
      <c r="G97" s="48"/>
      <c r="H97" s="48"/>
      <c r="I97" s="48"/>
      <c r="J97" s="49"/>
      <c r="K97" s="48"/>
      <c r="L97" s="48"/>
      <c r="M97" s="7" t="s">
        <v>237</v>
      </c>
      <c r="N97" s="48"/>
      <c r="O97" s="49"/>
      <c r="P97" s="51"/>
    </row>
    <row r="98" spans="2:16" ht="31.5" x14ac:dyDescent="0.25">
      <c r="B98" s="48"/>
      <c r="C98" s="48"/>
      <c r="D98" s="48"/>
      <c r="E98" s="48"/>
      <c r="F98" s="48"/>
      <c r="G98" s="48"/>
      <c r="H98" s="48"/>
      <c r="I98" s="48"/>
      <c r="J98" s="49"/>
      <c r="K98" s="48"/>
      <c r="L98" s="48"/>
      <c r="M98" s="7" t="s">
        <v>238</v>
      </c>
      <c r="N98" s="48"/>
      <c r="O98" s="49"/>
      <c r="P98" s="51"/>
    </row>
    <row r="99" spans="2:16" ht="31.5" x14ac:dyDescent="0.25">
      <c r="B99" s="48"/>
      <c r="C99" s="48"/>
      <c r="D99" s="48"/>
      <c r="E99" s="48"/>
      <c r="F99" s="48"/>
      <c r="G99" s="48"/>
      <c r="H99" s="48"/>
      <c r="I99" s="48"/>
      <c r="J99" s="49"/>
      <c r="K99" s="48"/>
      <c r="L99" s="48"/>
      <c r="M99" s="7" t="s">
        <v>239</v>
      </c>
      <c r="N99" s="48"/>
      <c r="O99" s="49"/>
      <c r="P99" s="51"/>
    </row>
    <row r="100" spans="2:16" ht="63" x14ac:dyDescent="0.25">
      <c r="B100" s="37"/>
      <c r="C100" s="37"/>
      <c r="D100" s="37"/>
      <c r="E100" s="37"/>
      <c r="F100" s="37"/>
      <c r="G100" s="37"/>
      <c r="H100" s="37"/>
      <c r="I100" s="37"/>
      <c r="J100" s="39"/>
      <c r="K100" s="37"/>
      <c r="L100" s="37"/>
      <c r="M100" s="8" t="s">
        <v>240</v>
      </c>
      <c r="N100" s="37"/>
      <c r="O100" s="39"/>
      <c r="P100" s="52"/>
    </row>
    <row r="101" spans="2:16" ht="47.25" x14ac:dyDescent="0.25">
      <c r="B101" s="2">
        <v>59</v>
      </c>
      <c r="C101" s="2" t="str">
        <f>"NOS-45/15"</f>
        <v>NOS-45/15</v>
      </c>
      <c r="D101" s="2" t="s">
        <v>16</v>
      </c>
      <c r="E101" s="2" t="s">
        <v>17</v>
      </c>
      <c r="F101" s="2" t="s">
        <v>241</v>
      </c>
      <c r="G101" s="2" t="str">
        <f>"2015-649"</f>
        <v>2015-649</v>
      </c>
      <c r="H101" s="2" t="str">
        <f>"2015/S 003-0022313"</f>
        <v>2015/S 003-0022313</v>
      </c>
      <c r="I101" s="2" t="s">
        <v>19</v>
      </c>
      <c r="J101" s="3" t="str">
        <f>"130.000.000,00"</f>
        <v>130.000.000,00</v>
      </c>
      <c r="K101" s="2" t="s">
        <v>59</v>
      </c>
      <c r="L101" s="2" t="s">
        <v>60</v>
      </c>
      <c r="M101" s="2" t="s">
        <v>220</v>
      </c>
      <c r="N101" s="2" t="s">
        <v>23</v>
      </c>
      <c r="O101" s="3" t="str">
        <f>"29.480.032,50"</f>
        <v>29.480.032,50</v>
      </c>
      <c r="P101" s="4"/>
    </row>
    <row r="102" spans="2:16" ht="63" x14ac:dyDescent="0.25">
      <c r="B102" s="2">
        <v>60</v>
      </c>
      <c r="C102" s="2" t="str">
        <f>"NOS-35/15"</f>
        <v>NOS-35/15</v>
      </c>
      <c r="D102" s="2" t="s">
        <v>242</v>
      </c>
      <c r="E102" s="2" t="s">
        <v>17</v>
      </c>
      <c r="F102" s="2" t="s">
        <v>243</v>
      </c>
      <c r="G102" s="2" t="str">
        <f>"2015-2208"</f>
        <v>2015-2208</v>
      </c>
      <c r="H102" s="2" t="str">
        <f>"2015/S 003-0027369"</f>
        <v>2015/S 003-0027369</v>
      </c>
      <c r="I102" s="2" t="s">
        <v>19</v>
      </c>
      <c r="J102" s="3" t="str">
        <f>"585.000,00"</f>
        <v>585.000,00</v>
      </c>
      <c r="K102" s="2" t="s">
        <v>244</v>
      </c>
      <c r="L102" s="2" t="s">
        <v>245</v>
      </c>
      <c r="M102" s="2" t="s">
        <v>246</v>
      </c>
      <c r="N102" s="2" t="s">
        <v>23</v>
      </c>
      <c r="O102" s="3" t="str">
        <f>"52.886,52"</f>
        <v>52.886,52</v>
      </c>
      <c r="P102" s="4"/>
    </row>
    <row r="103" spans="2:16" ht="31.5" x14ac:dyDescent="0.25">
      <c r="B103" s="36">
        <v>61</v>
      </c>
      <c r="C103" s="36" t="str">
        <f>"NOS-52/15"</f>
        <v>NOS-52/15</v>
      </c>
      <c r="D103" s="36" t="s">
        <v>16</v>
      </c>
      <c r="E103" s="36" t="s">
        <v>17</v>
      </c>
      <c r="F103" s="36" t="s">
        <v>247</v>
      </c>
      <c r="G103" s="36" t="str">
        <f>"2015-1793"</f>
        <v>2015-1793</v>
      </c>
      <c r="H103" s="36" t="str">
        <f>"2015/S 003-0027002"</f>
        <v>2015/S 003-0027002</v>
      </c>
      <c r="I103" s="36" t="s">
        <v>19</v>
      </c>
      <c r="J103" s="38" t="str">
        <f>"4.900.000,00"</f>
        <v>4.900.000,00</v>
      </c>
      <c r="K103" s="36" t="s">
        <v>140</v>
      </c>
      <c r="L103" s="36" t="s">
        <v>141</v>
      </c>
      <c r="M103" s="6" t="s">
        <v>248</v>
      </c>
      <c r="N103" s="36" t="s">
        <v>23</v>
      </c>
      <c r="O103" s="38" t="str">
        <f>"908.804,80"</f>
        <v>908.804,80</v>
      </c>
      <c r="P103" s="50"/>
    </row>
    <row r="104" spans="2:16" ht="31.5" x14ac:dyDescent="0.25">
      <c r="B104" s="48"/>
      <c r="C104" s="48"/>
      <c r="D104" s="48"/>
      <c r="E104" s="48"/>
      <c r="F104" s="48"/>
      <c r="G104" s="48"/>
      <c r="H104" s="48"/>
      <c r="I104" s="48"/>
      <c r="J104" s="49"/>
      <c r="K104" s="48"/>
      <c r="L104" s="48"/>
      <c r="M104" s="7" t="s">
        <v>249</v>
      </c>
      <c r="N104" s="48"/>
      <c r="O104" s="49"/>
      <c r="P104" s="51"/>
    </row>
    <row r="105" spans="2:16" ht="31.5" x14ac:dyDescent="0.25">
      <c r="B105" s="37"/>
      <c r="C105" s="37"/>
      <c r="D105" s="37"/>
      <c r="E105" s="37"/>
      <c r="F105" s="37"/>
      <c r="G105" s="37"/>
      <c r="H105" s="37"/>
      <c r="I105" s="37"/>
      <c r="J105" s="39"/>
      <c r="K105" s="37"/>
      <c r="L105" s="37"/>
      <c r="M105" s="8" t="s">
        <v>250</v>
      </c>
      <c r="N105" s="37"/>
      <c r="O105" s="39"/>
      <c r="P105" s="52"/>
    </row>
    <row r="106" spans="2:16" ht="47.25" x14ac:dyDescent="0.25">
      <c r="B106" s="2">
        <v>62</v>
      </c>
      <c r="C106" s="2" t="str">
        <f>"NOS-47/15"</f>
        <v>NOS-47/15</v>
      </c>
      <c r="D106" s="2" t="s">
        <v>16</v>
      </c>
      <c r="E106" s="2" t="s">
        <v>17</v>
      </c>
      <c r="F106" s="2" t="s">
        <v>251</v>
      </c>
      <c r="G106" s="2" t="str">
        <f>"2015-1340"</f>
        <v>2015-1340</v>
      </c>
      <c r="H106" s="2" t="str">
        <f>"2015/S 003-0027320"</f>
        <v>2015/S 003-0027320</v>
      </c>
      <c r="I106" s="2" t="s">
        <v>19</v>
      </c>
      <c r="J106" s="3" t="str">
        <f>"626.000,00"</f>
        <v>626.000,00</v>
      </c>
      <c r="K106" s="2" t="s">
        <v>252</v>
      </c>
      <c r="L106" s="2" t="s">
        <v>253</v>
      </c>
      <c r="M106" s="2" t="s">
        <v>254</v>
      </c>
      <c r="N106" s="2" t="s">
        <v>23</v>
      </c>
      <c r="O106" s="3" t="str">
        <f>"159.280,00"</f>
        <v>159.280,00</v>
      </c>
      <c r="P106" s="4"/>
    </row>
    <row r="107" spans="2:16" ht="31.5" x14ac:dyDescent="0.25">
      <c r="B107" s="36">
        <v>63</v>
      </c>
      <c r="C107" s="36" t="str">
        <f>"NOS-54/15"</f>
        <v>NOS-54/15</v>
      </c>
      <c r="D107" s="36" t="s">
        <v>28</v>
      </c>
      <c r="E107" s="36" t="s">
        <v>17</v>
      </c>
      <c r="F107" s="36" t="s">
        <v>255</v>
      </c>
      <c r="G107" s="36" t="str">
        <f>"2015-2211"</f>
        <v>2015-2211</v>
      </c>
      <c r="H107" s="36" t="str">
        <f>"2015/S 003-0030396"</f>
        <v>2015/S 003-0030396</v>
      </c>
      <c r="I107" s="36" t="s">
        <v>19</v>
      </c>
      <c r="J107" s="38" t="str">
        <f>"1.500.000,00"</f>
        <v>1.500.000,00</v>
      </c>
      <c r="K107" s="36" t="s">
        <v>256</v>
      </c>
      <c r="L107" s="36" t="s">
        <v>257</v>
      </c>
      <c r="M107" s="6" t="s">
        <v>258</v>
      </c>
      <c r="N107" s="36" t="s">
        <v>23</v>
      </c>
      <c r="O107" s="38" t="str">
        <f>"171.370,00"</f>
        <v>171.370,00</v>
      </c>
      <c r="P107" s="50"/>
    </row>
    <row r="108" spans="2:16" ht="31.5" x14ac:dyDescent="0.25">
      <c r="B108" s="48"/>
      <c r="C108" s="48"/>
      <c r="D108" s="48"/>
      <c r="E108" s="48"/>
      <c r="F108" s="48"/>
      <c r="G108" s="48"/>
      <c r="H108" s="48"/>
      <c r="I108" s="48"/>
      <c r="J108" s="49"/>
      <c r="K108" s="48"/>
      <c r="L108" s="48"/>
      <c r="M108" s="7" t="s">
        <v>84</v>
      </c>
      <c r="N108" s="48"/>
      <c r="O108" s="49"/>
      <c r="P108" s="51"/>
    </row>
    <row r="109" spans="2:16" ht="31.5" x14ac:dyDescent="0.25">
      <c r="B109" s="37"/>
      <c r="C109" s="37"/>
      <c r="D109" s="37"/>
      <c r="E109" s="37"/>
      <c r="F109" s="37"/>
      <c r="G109" s="37"/>
      <c r="H109" s="37"/>
      <c r="I109" s="37"/>
      <c r="J109" s="39"/>
      <c r="K109" s="37"/>
      <c r="L109" s="37"/>
      <c r="M109" s="8" t="s">
        <v>259</v>
      </c>
      <c r="N109" s="37"/>
      <c r="O109" s="39"/>
      <c r="P109" s="52"/>
    </row>
    <row r="110" spans="2:16" ht="47.25" x14ac:dyDescent="0.25">
      <c r="B110" s="2">
        <v>64</v>
      </c>
      <c r="C110" s="2" t="str">
        <f>"NOS-48/15"</f>
        <v>NOS-48/15</v>
      </c>
      <c r="D110" s="2" t="s">
        <v>260</v>
      </c>
      <c r="E110" s="2" t="s">
        <v>17</v>
      </c>
      <c r="F110" s="2" t="s">
        <v>261</v>
      </c>
      <c r="G110" s="2" t="str">
        <f>"2015-2215"</f>
        <v>2015-2215</v>
      </c>
      <c r="H110" s="2" t="str">
        <f>"2015/S 003-0027366"</f>
        <v>2015/S 003-0027366</v>
      </c>
      <c r="I110" s="2" t="s">
        <v>19</v>
      </c>
      <c r="J110" s="3" t="str">
        <f>"706.000,00"</f>
        <v>706.000,00</v>
      </c>
      <c r="K110" s="2" t="s">
        <v>252</v>
      </c>
      <c r="L110" s="2" t="s">
        <v>253</v>
      </c>
      <c r="M110" s="2" t="s">
        <v>160</v>
      </c>
      <c r="N110" s="2" t="s">
        <v>23</v>
      </c>
      <c r="O110" s="3" t="str">
        <f>"30.252,77"</f>
        <v>30.252,77</v>
      </c>
      <c r="P110" s="4"/>
    </row>
    <row r="111" spans="2:16" ht="47.25" x14ac:dyDescent="0.25">
      <c r="B111" s="36">
        <v>65</v>
      </c>
      <c r="C111" s="36" t="str">
        <f>"NOS-88/15"</f>
        <v>NOS-88/15</v>
      </c>
      <c r="D111" s="36" t="s">
        <v>16</v>
      </c>
      <c r="E111" s="36" t="s">
        <v>17</v>
      </c>
      <c r="F111" s="36" t="s">
        <v>262</v>
      </c>
      <c r="G111" s="36" t="str">
        <f>"2015-2186"</f>
        <v>2015-2186</v>
      </c>
      <c r="H111" s="36" t="str">
        <f>"2015/S 003-0032494"</f>
        <v>2015/S 003-0032494</v>
      </c>
      <c r="I111" s="36" t="s">
        <v>19</v>
      </c>
      <c r="J111" s="38" t="str">
        <f>"5.000.000,00"</f>
        <v>5.000.000,00</v>
      </c>
      <c r="K111" s="36" t="s">
        <v>263</v>
      </c>
      <c r="L111" s="36" t="s">
        <v>264</v>
      </c>
      <c r="M111" s="6" t="s">
        <v>265</v>
      </c>
      <c r="N111" s="36" t="s">
        <v>23</v>
      </c>
      <c r="O111" s="38" t="str">
        <f>"48.000,00"</f>
        <v>48.000,00</v>
      </c>
      <c r="P111" s="50"/>
    </row>
    <row r="112" spans="2:16" ht="31.5" x14ac:dyDescent="0.25">
      <c r="B112" s="48"/>
      <c r="C112" s="48"/>
      <c r="D112" s="48"/>
      <c r="E112" s="48"/>
      <c r="F112" s="48"/>
      <c r="G112" s="48"/>
      <c r="H112" s="48"/>
      <c r="I112" s="48"/>
      <c r="J112" s="49"/>
      <c r="K112" s="48"/>
      <c r="L112" s="48"/>
      <c r="M112" s="7" t="s">
        <v>266</v>
      </c>
      <c r="N112" s="48"/>
      <c r="O112" s="49"/>
      <c r="P112" s="51"/>
    </row>
    <row r="113" spans="2:16" ht="31.5" x14ac:dyDescent="0.25">
      <c r="B113" s="37"/>
      <c r="C113" s="37"/>
      <c r="D113" s="37"/>
      <c r="E113" s="37"/>
      <c r="F113" s="37"/>
      <c r="G113" s="37"/>
      <c r="H113" s="37"/>
      <c r="I113" s="37"/>
      <c r="J113" s="39"/>
      <c r="K113" s="37"/>
      <c r="L113" s="37"/>
      <c r="M113" s="8" t="s">
        <v>267</v>
      </c>
      <c r="N113" s="37"/>
      <c r="O113" s="39"/>
      <c r="P113" s="52"/>
    </row>
    <row r="114" spans="2:16" ht="47.25" x14ac:dyDescent="0.25">
      <c r="B114" s="36">
        <v>66</v>
      </c>
      <c r="C114" s="36" t="str">
        <f>"NOS-69/15"</f>
        <v>NOS-69/15</v>
      </c>
      <c r="D114" s="36" t="s">
        <v>28</v>
      </c>
      <c r="E114" s="36" t="s">
        <v>17</v>
      </c>
      <c r="F114" s="36" t="s">
        <v>268</v>
      </c>
      <c r="G114" s="36" t="str">
        <f>"2015-2209"</f>
        <v>2015-2209</v>
      </c>
      <c r="H114" s="36" t="str">
        <f>"2015/S 003-0030801"</f>
        <v>2015/S 003-0030801</v>
      </c>
      <c r="I114" s="36" t="s">
        <v>19</v>
      </c>
      <c r="J114" s="38" t="str">
        <f>"550.000,00"</f>
        <v>550.000,00</v>
      </c>
      <c r="K114" s="36" t="s">
        <v>151</v>
      </c>
      <c r="L114" s="36" t="s">
        <v>152</v>
      </c>
      <c r="M114" s="6" t="s">
        <v>227</v>
      </c>
      <c r="N114" s="36" t="s">
        <v>23</v>
      </c>
      <c r="O114" s="38" t="str">
        <f>"111.026,92"</f>
        <v>111.026,92</v>
      </c>
      <c r="P114" s="50"/>
    </row>
    <row r="115" spans="2:16" ht="31.5" x14ac:dyDescent="0.25">
      <c r="B115" s="48"/>
      <c r="C115" s="48"/>
      <c r="D115" s="48"/>
      <c r="E115" s="48"/>
      <c r="F115" s="48"/>
      <c r="G115" s="48"/>
      <c r="H115" s="48"/>
      <c r="I115" s="48"/>
      <c r="J115" s="49"/>
      <c r="K115" s="48"/>
      <c r="L115" s="48"/>
      <c r="M115" s="7" t="s">
        <v>269</v>
      </c>
      <c r="N115" s="48"/>
      <c r="O115" s="49"/>
      <c r="P115" s="51"/>
    </row>
    <row r="116" spans="2:16" ht="63" x14ac:dyDescent="0.25">
      <c r="B116" s="37"/>
      <c r="C116" s="37"/>
      <c r="D116" s="37"/>
      <c r="E116" s="37"/>
      <c r="F116" s="37"/>
      <c r="G116" s="37"/>
      <c r="H116" s="37"/>
      <c r="I116" s="37"/>
      <c r="J116" s="39"/>
      <c r="K116" s="37"/>
      <c r="L116" s="37"/>
      <c r="M116" s="8" t="s">
        <v>270</v>
      </c>
      <c r="N116" s="37"/>
      <c r="O116" s="39"/>
      <c r="P116" s="52"/>
    </row>
    <row r="117" spans="2:16" ht="31.5" x14ac:dyDescent="0.25">
      <c r="B117" s="36">
        <v>67</v>
      </c>
      <c r="C117" s="36" t="str">
        <f>"NOS-129/15"</f>
        <v>NOS-129/15</v>
      </c>
      <c r="D117" s="36" t="s">
        <v>16</v>
      </c>
      <c r="E117" s="36" t="s">
        <v>17</v>
      </c>
      <c r="F117" s="36" t="s">
        <v>271</v>
      </c>
      <c r="G117" s="36" t="str">
        <f>"2015-2214"</f>
        <v>2015-2214</v>
      </c>
      <c r="H117" s="36" t="str">
        <f>"2015/S 003-0037356"</f>
        <v>2015/S 003-0037356</v>
      </c>
      <c r="I117" s="36" t="s">
        <v>19</v>
      </c>
      <c r="J117" s="38" t="str">
        <f>"15.000.000,00"</f>
        <v>15.000.000,00</v>
      </c>
      <c r="K117" s="36" t="s">
        <v>272</v>
      </c>
      <c r="L117" s="36" t="s">
        <v>273</v>
      </c>
      <c r="M117" s="6" t="s">
        <v>274</v>
      </c>
      <c r="N117" s="36" t="s">
        <v>23</v>
      </c>
      <c r="O117" s="38" t="str">
        <f>"0,00"</f>
        <v>0,00</v>
      </c>
      <c r="P117" s="50"/>
    </row>
    <row r="118" spans="2:16" ht="31.5" x14ac:dyDescent="0.25">
      <c r="B118" s="37"/>
      <c r="C118" s="37"/>
      <c r="D118" s="37"/>
      <c r="E118" s="37"/>
      <c r="F118" s="37"/>
      <c r="G118" s="37"/>
      <c r="H118" s="37"/>
      <c r="I118" s="37"/>
      <c r="J118" s="39"/>
      <c r="K118" s="37"/>
      <c r="L118" s="37"/>
      <c r="M118" s="8" t="s">
        <v>275</v>
      </c>
      <c r="N118" s="37"/>
      <c r="O118" s="39"/>
      <c r="P118" s="52"/>
    </row>
    <row r="119" spans="2:16" ht="31.5" x14ac:dyDescent="0.25">
      <c r="B119" s="36">
        <v>68</v>
      </c>
      <c r="C119" s="36" t="str">
        <f>"NOS-23/15"</f>
        <v>NOS-23/15</v>
      </c>
      <c r="D119" s="36" t="s">
        <v>16</v>
      </c>
      <c r="E119" s="36" t="s">
        <v>17</v>
      </c>
      <c r="F119" s="36" t="s">
        <v>276</v>
      </c>
      <c r="G119" s="36" t="str">
        <f>"2015-21"</f>
        <v>2015-21</v>
      </c>
      <c r="H119" s="36" t="str">
        <f>"2015/S 003-0022304"</f>
        <v>2015/S 003-0022304</v>
      </c>
      <c r="I119" s="36" t="s">
        <v>19</v>
      </c>
      <c r="J119" s="38" t="str">
        <f>"1.460.000,00"</f>
        <v>1.460.000,00</v>
      </c>
      <c r="K119" s="36" t="s">
        <v>71</v>
      </c>
      <c r="L119" s="36" t="s">
        <v>72</v>
      </c>
      <c r="M119" s="6" t="s">
        <v>56</v>
      </c>
      <c r="N119" s="36" t="s">
        <v>23</v>
      </c>
      <c r="O119" s="38" t="str">
        <f>"56.302,00"</f>
        <v>56.302,00</v>
      </c>
      <c r="P119" s="50"/>
    </row>
    <row r="120" spans="2:16" ht="63" x14ac:dyDescent="0.25">
      <c r="B120" s="37"/>
      <c r="C120" s="37"/>
      <c r="D120" s="37"/>
      <c r="E120" s="37"/>
      <c r="F120" s="37"/>
      <c r="G120" s="37"/>
      <c r="H120" s="37"/>
      <c r="I120" s="37"/>
      <c r="J120" s="39"/>
      <c r="K120" s="37"/>
      <c r="L120" s="37"/>
      <c r="M120" s="8" t="s">
        <v>64</v>
      </c>
      <c r="N120" s="37"/>
      <c r="O120" s="39"/>
      <c r="P120" s="52"/>
    </row>
    <row r="121" spans="2:16" ht="47.25" x14ac:dyDescent="0.25">
      <c r="B121" s="2">
        <v>69</v>
      </c>
      <c r="C121" s="2" t="str">
        <f>"NOS-19/15"</f>
        <v>NOS-19/15</v>
      </c>
      <c r="D121" s="2" t="s">
        <v>28</v>
      </c>
      <c r="E121" s="2" t="s">
        <v>17</v>
      </c>
      <c r="F121" s="2" t="s">
        <v>277</v>
      </c>
      <c r="G121" s="2" t="str">
        <f>"2015-22"</f>
        <v>2015-22</v>
      </c>
      <c r="H121" s="2" t="str">
        <f>"2015/S 003-0025844"</f>
        <v>2015/S 003-0025844</v>
      </c>
      <c r="I121" s="2" t="s">
        <v>19</v>
      </c>
      <c r="J121" s="3" t="str">
        <f>"1.400.000,00"</f>
        <v>1.400.000,00</v>
      </c>
      <c r="K121" s="2" t="s">
        <v>59</v>
      </c>
      <c r="L121" s="2" t="s">
        <v>60</v>
      </c>
      <c r="M121" s="2" t="s">
        <v>44</v>
      </c>
      <c r="N121" s="2" t="s">
        <v>23</v>
      </c>
      <c r="O121" s="3" t="str">
        <f>"99.696,51"</f>
        <v>99.696,51</v>
      </c>
      <c r="P121" s="4"/>
    </row>
    <row r="122" spans="2:16" ht="63" x14ac:dyDescent="0.25">
      <c r="B122" s="2">
        <v>70</v>
      </c>
      <c r="C122" s="2" t="str">
        <f>"NOS-50/15"</f>
        <v>NOS-50/15</v>
      </c>
      <c r="D122" s="2" t="s">
        <v>16</v>
      </c>
      <c r="E122" s="2" t="s">
        <v>17</v>
      </c>
      <c r="F122" s="2" t="s">
        <v>278</v>
      </c>
      <c r="G122" s="2" t="str">
        <f>"2015-23"</f>
        <v>2015-23</v>
      </c>
      <c r="H122" s="2" t="str">
        <f>"2015/S 003-0027026"</f>
        <v>2015/S 003-0027026</v>
      </c>
      <c r="I122" s="2" t="s">
        <v>19</v>
      </c>
      <c r="J122" s="3" t="str">
        <f>"2.000.000,00"</f>
        <v>2.000.000,00</v>
      </c>
      <c r="K122" s="2" t="s">
        <v>203</v>
      </c>
      <c r="L122" s="2" t="s">
        <v>204</v>
      </c>
      <c r="M122" s="2" t="s">
        <v>279</v>
      </c>
      <c r="N122" s="2" t="s">
        <v>23</v>
      </c>
      <c r="O122" s="3" t="str">
        <f>"395.351,84"</f>
        <v>395.351,84</v>
      </c>
      <c r="P122" s="4"/>
    </row>
    <row r="123" spans="2:16" ht="47.25" x14ac:dyDescent="0.25">
      <c r="B123" s="36">
        <v>71</v>
      </c>
      <c r="C123" s="36" t="str">
        <f>"NOS-44/15"</f>
        <v>NOS-44/15</v>
      </c>
      <c r="D123" s="36" t="s">
        <v>16</v>
      </c>
      <c r="E123" s="36" t="s">
        <v>17</v>
      </c>
      <c r="F123" s="36" t="s">
        <v>280</v>
      </c>
      <c r="G123" s="36" t="str">
        <f>"2015-26"</f>
        <v>2015-26</v>
      </c>
      <c r="H123" s="36" t="str">
        <f>"2015/S 003-0026997"</f>
        <v>2015/S 003-0026997</v>
      </c>
      <c r="I123" s="36" t="s">
        <v>19</v>
      </c>
      <c r="J123" s="38" t="str">
        <f>"2.550.000,00"</f>
        <v>2.550.000,00</v>
      </c>
      <c r="K123" s="36" t="s">
        <v>140</v>
      </c>
      <c r="L123" s="36" t="s">
        <v>141</v>
      </c>
      <c r="M123" s="6" t="s">
        <v>281</v>
      </c>
      <c r="N123" s="36" t="s">
        <v>23</v>
      </c>
      <c r="O123" s="38" t="str">
        <f>"312.855,96"</f>
        <v>312.855,96</v>
      </c>
      <c r="P123" s="50"/>
    </row>
    <row r="124" spans="2:16" ht="47.25" x14ac:dyDescent="0.25">
      <c r="B124" s="48"/>
      <c r="C124" s="48"/>
      <c r="D124" s="48"/>
      <c r="E124" s="48"/>
      <c r="F124" s="48"/>
      <c r="G124" s="48"/>
      <c r="H124" s="48"/>
      <c r="I124" s="48"/>
      <c r="J124" s="49"/>
      <c r="K124" s="48"/>
      <c r="L124" s="48"/>
      <c r="M124" s="7" t="s">
        <v>282</v>
      </c>
      <c r="N124" s="48"/>
      <c r="O124" s="49"/>
      <c r="P124" s="51"/>
    </row>
    <row r="125" spans="2:16" ht="31.5" x14ac:dyDescent="0.25">
      <c r="B125" s="37"/>
      <c r="C125" s="37"/>
      <c r="D125" s="37"/>
      <c r="E125" s="37"/>
      <c r="F125" s="37"/>
      <c r="G125" s="37"/>
      <c r="H125" s="37"/>
      <c r="I125" s="37"/>
      <c r="J125" s="39"/>
      <c r="K125" s="37"/>
      <c r="L125" s="37"/>
      <c r="M125" s="8" t="s">
        <v>283</v>
      </c>
      <c r="N125" s="37"/>
      <c r="O125" s="39"/>
      <c r="P125" s="52"/>
    </row>
    <row r="126" spans="2:16" ht="63" x14ac:dyDescent="0.25">
      <c r="B126" s="2">
        <v>72</v>
      </c>
      <c r="C126" s="2" t="str">
        <f>"NOS-1/15"</f>
        <v>NOS-1/15</v>
      </c>
      <c r="D126" s="2" t="s">
        <v>284</v>
      </c>
      <c r="E126" s="2" t="s">
        <v>17</v>
      </c>
      <c r="F126" s="2" t="s">
        <v>285</v>
      </c>
      <c r="G126" s="2" t="str">
        <f>"2015-27"</f>
        <v>2015-27</v>
      </c>
      <c r="H126" s="2" t="str">
        <f>"2015/S 003-0020577"</f>
        <v>2015/S 003-0020577</v>
      </c>
      <c r="I126" s="2" t="s">
        <v>19</v>
      </c>
      <c r="J126" s="3" t="str">
        <f>"1.300.000,00"</f>
        <v>1.300.000,00</v>
      </c>
      <c r="K126" s="2" t="s">
        <v>128</v>
      </c>
      <c r="L126" s="2" t="s">
        <v>129</v>
      </c>
      <c r="M126" s="2" t="s">
        <v>286</v>
      </c>
      <c r="N126" s="2" t="s">
        <v>23</v>
      </c>
      <c r="O126" s="3" t="str">
        <f>"316.307,32"</f>
        <v>316.307,32</v>
      </c>
      <c r="P126" s="4"/>
    </row>
    <row r="127" spans="2:16" ht="47.25" x14ac:dyDescent="0.25">
      <c r="B127" s="2">
        <v>73</v>
      </c>
      <c r="C127" s="2" t="str">
        <f>"NOS-32/15"</f>
        <v>NOS-32/15</v>
      </c>
      <c r="D127" s="2" t="s">
        <v>28</v>
      </c>
      <c r="E127" s="2" t="s">
        <v>17</v>
      </c>
      <c r="F127" s="2" t="s">
        <v>287</v>
      </c>
      <c r="G127" s="2" t="str">
        <f>"2015-28"</f>
        <v>2015-28</v>
      </c>
      <c r="H127" s="2" t="str">
        <f>"2015/S 003-0024443"</f>
        <v>2015/S 003-0024443</v>
      </c>
      <c r="I127" s="2" t="s">
        <v>19</v>
      </c>
      <c r="J127" s="3" t="str">
        <f>"2.200.000,00"</f>
        <v>2.200.000,00</v>
      </c>
      <c r="K127" s="2" t="s">
        <v>288</v>
      </c>
      <c r="L127" s="2" t="s">
        <v>289</v>
      </c>
      <c r="M127" s="2" t="s">
        <v>290</v>
      </c>
      <c r="N127" s="2" t="s">
        <v>23</v>
      </c>
      <c r="O127" s="3" t="str">
        <f>"389.491,19"</f>
        <v>389.491,19</v>
      </c>
      <c r="P127" s="4"/>
    </row>
    <row r="128" spans="2:16" ht="47.25" x14ac:dyDescent="0.25">
      <c r="B128" s="2">
        <v>74</v>
      </c>
      <c r="C128" s="2" t="str">
        <f>"NOS-18/15"</f>
        <v>NOS-18/15</v>
      </c>
      <c r="D128" s="2" t="s">
        <v>16</v>
      </c>
      <c r="E128" s="2" t="s">
        <v>17</v>
      </c>
      <c r="F128" s="2" t="s">
        <v>291</v>
      </c>
      <c r="G128" s="2" t="str">
        <f>"2015-33"</f>
        <v>2015-33</v>
      </c>
      <c r="H128" s="2" t="str">
        <f>"2015/S 003-0024447"</f>
        <v>2015/S 003-0024447</v>
      </c>
      <c r="I128" s="2" t="s">
        <v>19</v>
      </c>
      <c r="J128" s="3" t="str">
        <f>"900.000,00"</f>
        <v>900.000,00</v>
      </c>
      <c r="K128" s="2" t="s">
        <v>292</v>
      </c>
      <c r="L128" s="2" t="s">
        <v>293</v>
      </c>
      <c r="M128" s="2" t="s">
        <v>294</v>
      </c>
      <c r="N128" s="2" t="s">
        <v>23</v>
      </c>
      <c r="O128" s="3" t="str">
        <f>"48.656,29"</f>
        <v>48.656,29</v>
      </c>
      <c r="P128" s="4"/>
    </row>
    <row r="129" spans="2:16" ht="47.25" x14ac:dyDescent="0.25">
      <c r="B129" s="2">
        <v>75</v>
      </c>
      <c r="C129" s="2" t="str">
        <f>"NOS-16/15"</f>
        <v>NOS-16/15</v>
      </c>
      <c r="D129" s="2" t="s">
        <v>16</v>
      </c>
      <c r="E129" s="2" t="s">
        <v>17</v>
      </c>
      <c r="F129" s="2" t="s">
        <v>295</v>
      </c>
      <c r="G129" s="2" t="str">
        <f>"2015-35"</f>
        <v>2015-35</v>
      </c>
      <c r="H129" s="2" t="str">
        <f>"2015/S 003-0020776"</f>
        <v>2015/S 003-0020776</v>
      </c>
      <c r="I129" s="2" t="s">
        <v>19</v>
      </c>
      <c r="J129" s="3" t="str">
        <f>"1.000.000,00"</f>
        <v>1.000.000,00</v>
      </c>
      <c r="K129" s="2" t="s">
        <v>296</v>
      </c>
      <c r="L129" s="2" t="s">
        <v>297</v>
      </c>
      <c r="M129" s="2" t="s">
        <v>298</v>
      </c>
      <c r="N129" s="2" t="s">
        <v>23</v>
      </c>
      <c r="O129" s="3" t="str">
        <f>"182.404,33"</f>
        <v>182.404,33</v>
      </c>
      <c r="P129" s="4"/>
    </row>
    <row r="130" spans="2:16" ht="15.75" x14ac:dyDescent="0.25">
      <c r="B130" s="36">
        <v>76</v>
      </c>
      <c r="C130" s="36" t="str">
        <f>"NOS-39/15"</f>
        <v>NOS-39/15</v>
      </c>
      <c r="D130" s="36" t="s">
        <v>299</v>
      </c>
      <c r="E130" s="36" t="s">
        <v>17</v>
      </c>
      <c r="F130" s="36" t="s">
        <v>300</v>
      </c>
      <c r="G130" s="36" t="str">
        <f>"2015-39"</f>
        <v>2015-39</v>
      </c>
      <c r="H130" s="36" t="str">
        <f>"2015/S 003-0029233"</f>
        <v>2015/S 003-0029233</v>
      </c>
      <c r="I130" s="36" t="s">
        <v>19</v>
      </c>
      <c r="J130" s="38" t="str">
        <f>"6.230.000,00"</f>
        <v>6.230.000,00</v>
      </c>
      <c r="K130" s="36" t="s">
        <v>301</v>
      </c>
      <c r="L130" s="36" t="s">
        <v>302</v>
      </c>
      <c r="M130" s="6" t="s">
        <v>61</v>
      </c>
      <c r="N130" s="36" t="s">
        <v>23</v>
      </c>
      <c r="O130" s="38" t="str">
        <f>"869.626,94"</f>
        <v>869.626,94</v>
      </c>
      <c r="P130" s="50"/>
    </row>
    <row r="131" spans="2:16" ht="63" x14ac:dyDescent="0.25">
      <c r="B131" s="48"/>
      <c r="C131" s="48"/>
      <c r="D131" s="48"/>
      <c r="E131" s="48"/>
      <c r="F131" s="48"/>
      <c r="G131" s="48"/>
      <c r="H131" s="48"/>
      <c r="I131" s="48"/>
      <c r="J131" s="49"/>
      <c r="K131" s="48"/>
      <c r="L131" s="48"/>
      <c r="M131" s="7" t="s">
        <v>270</v>
      </c>
      <c r="N131" s="48"/>
      <c r="O131" s="49"/>
      <c r="P131" s="51"/>
    </row>
    <row r="132" spans="2:16" ht="31.5" x14ac:dyDescent="0.25">
      <c r="B132" s="37"/>
      <c r="C132" s="37"/>
      <c r="D132" s="37"/>
      <c r="E132" s="37"/>
      <c r="F132" s="37"/>
      <c r="G132" s="37"/>
      <c r="H132" s="37"/>
      <c r="I132" s="37"/>
      <c r="J132" s="39"/>
      <c r="K132" s="37"/>
      <c r="L132" s="37"/>
      <c r="M132" s="8" t="s">
        <v>303</v>
      </c>
      <c r="N132" s="37"/>
      <c r="O132" s="39"/>
      <c r="P132" s="52"/>
    </row>
    <row r="133" spans="2:16" ht="110.25" x14ac:dyDescent="0.25">
      <c r="B133" s="2">
        <v>77</v>
      </c>
      <c r="C133" s="2" t="str">
        <f>"NOS-24/15"</f>
        <v>NOS-24/15</v>
      </c>
      <c r="D133" s="2" t="s">
        <v>304</v>
      </c>
      <c r="E133" s="2" t="s">
        <v>17</v>
      </c>
      <c r="F133" s="2" t="s">
        <v>305</v>
      </c>
      <c r="G133" s="2" t="str">
        <f>"2015-38"</f>
        <v>2015-38</v>
      </c>
      <c r="H133" s="2" t="str">
        <f>"2015/S 003-0022308"</f>
        <v>2015/S 003-0022308</v>
      </c>
      <c r="I133" s="2" t="s">
        <v>19</v>
      </c>
      <c r="J133" s="3" t="str">
        <f>"9.000.000,00"</f>
        <v>9.000.000,00</v>
      </c>
      <c r="K133" s="2" t="s">
        <v>199</v>
      </c>
      <c r="L133" s="2" t="s">
        <v>200</v>
      </c>
      <c r="M133" s="2" t="s">
        <v>218</v>
      </c>
      <c r="N133" s="2" t="s">
        <v>23</v>
      </c>
      <c r="O133" s="3" t="str">
        <f>"1.687.446,25"</f>
        <v>1.687.446,25</v>
      </c>
      <c r="P133" s="4"/>
    </row>
    <row r="134" spans="2:16" ht="47.25" x14ac:dyDescent="0.25">
      <c r="B134" s="2">
        <v>78</v>
      </c>
      <c r="C134" s="2" t="str">
        <f>"NOS-15/15"</f>
        <v>NOS-15/15</v>
      </c>
      <c r="D134" s="2" t="s">
        <v>16</v>
      </c>
      <c r="E134" s="2" t="s">
        <v>17</v>
      </c>
      <c r="F134" s="2" t="s">
        <v>306</v>
      </c>
      <c r="G134" s="2" t="str">
        <f>"2015-29"</f>
        <v>2015-29</v>
      </c>
      <c r="H134" s="2" t="str">
        <f>"2015/S 003-0020716"</f>
        <v>2015/S 003-0020716</v>
      </c>
      <c r="I134" s="2" t="s">
        <v>19</v>
      </c>
      <c r="J134" s="3" t="str">
        <f>"1.500.000,00"</f>
        <v>1.500.000,00</v>
      </c>
      <c r="K134" s="2" t="s">
        <v>307</v>
      </c>
      <c r="L134" s="2" t="s">
        <v>308</v>
      </c>
      <c r="M134" s="2" t="s">
        <v>309</v>
      </c>
      <c r="N134" s="2" t="s">
        <v>23</v>
      </c>
      <c r="O134" s="3" t="str">
        <f>"338.734,00"</f>
        <v>338.734,00</v>
      </c>
      <c r="P134" s="4"/>
    </row>
    <row r="135" spans="2:16" ht="47.25" x14ac:dyDescent="0.25">
      <c r="B135" s="2">
        <v>79</v>
      </c>
      <c r="C135" s="2" t="str">
        <f>"NOS-42/15"</f>
        <v>NOS-42/15</v>
      </c>
      <c r="D135" s="2" t="s">
        <v>16</v>
      </c>
      <c r="E135" s="2" t="s">
        <v>17</v>
      </c>
      <c r="F135" s="2" t="s">
        <v>310</v>
      </c>
      <c r="G135" s="2" t="str">
        <f>"2015-32"</f>
        <v>2015-32</v>
      </c>
      <c r="H135" s="2" t="str">
        <f>"2015/S 003-0026932"</f>
        <v>2015/S 003-0026932</v>
      </c>
      <c r="I135" s="2" t="s">
        <v>19</v>
      </c>
      <c r="J135" s="3" t="str">
        <f>"1.000.000,00"</f>
        <v>1.000.000,00</v>
      </c>
      <c r="K135" s="2" t="s">
        <v>311</v>
      </c>
      <c r="L135" s="2" t="s">
        <v>312</v>
      </c>
      <c r="M135" s="2" t="s">
        <v>313</v>
      </c>
      <c r="N135" s="2" t="s">
        <v>23</v>
      </c>
      <c r="O135" s="3" t="str">
        <f>"0,00"</f>
        <v>0,00</v>
      </c>
      <c r="P135" s="4"/>
    </row>
    <row r="136" spans="2:16" ht="47.25" x14ac:dyDescent="0.25">
      <c r="B136" s="2">
        <v>80</v>
      </c>
      <c r="C136" s="2" t="str">
        <f>"NOS-17/15"</f>
        <v>NOS-17/15</v>
      </c>
      <c r="D136" s="2" t="s">
        <v>16</v>
      </c>
      <c r="E136" s="2" t="s">
        <v>17</v>
      </c>
      <c r="F136" s="2" t="s">
        <v>314</v>
      </c>
      <c r="G136" s="2" t="str">
        <f>"2015-24"</f>
        <v>2015-24</v>
      </c>
      <c r="H136" s="2" t="str">
        <f>"2015/S 003-0022312"</f>
        <v>2015/S 003-0022312</v>
      </c>
      <c r="I136" s="2" t="s">
        <v>19</v>
      </c>
      <c r="J136" s="3" t="str">
        <f>"4.000.000,00"</f>
        <v>4.000.000,00</v>
      </c>
      <c r="K136" s="2" t="s">
        <v>315</v>
      </c>
      <c r="L136" s="2" t="s">
        <v>316</v>
      </c>
      <c r="M136" s="2" t="s">
        <v>317</v>
      </c>
      <c r="N136" s="2" t="s">
        <v>23</v>
      </c>
      <c r="O136" s="3" t="str">
        <f>"502.341,93"</f>
        <v>502.341,93</v>
      </c>
      <c r="P136" s="4"/>
    </row>
    <row r="137" spans="2:16" ht="31.5" x14ac:dyDescent="0.25">
      <c r="B137" s="36">
        <v>81</v>
      </c>
      <c r="C137" s="36" t="str">
        <f>"NOS-13/15"</f>
        <v>NOS-13/15</v>
      </c>
      <c r="D137" s="36" t="s">
        <v>28</v>
      </c>
      <c r="E137" s="36" t="s">
        <v>17</v>
      </c>
      <c r="F137" s="36" t="s">
        <v>318</v>
      </c>
      <c r="G137" s="36" t="str">
        <f>"2015-43"</f>
        <v>2015-43</v>
      </c>
      <c r="H137" s="36" t="str">
        <f>"2015/S 003-0024604"</f>
        <v>2015/S 003-0024604</v>
      </c>
      <c r="I137" s="36" t="s">
        <v>19</v>
      </c>
      <c r="J137" s="38" t="str">
        <f>"6.500.000,00"</f>
        <v>6.500.000,00</v>
      </c>
      <c r="K137" s="36" t="s">
        <v>82</v>
      </c>
      <c r="L137" s="36" t="s">
        <v>190</v>
      </c>
      <c r="M137" s="6" t="s">
        <v>319</v>
      </c>
      <c r="N137" s="36" t="s">
        <v>23</v>
      </c>
      <c r="O137" s="38" t="str">
        <f>"531.270,83"</f>
        <v>531.270,83</v>
      </c>
      <c r="P137" s="50"/>
    </row>
    <row r="138" spans="2:16" ht="47.25" x14ac:dyDescent="0.25">
      <c r="B138" s="48"/>
      <c r="C138" s="48"/>
      <c r="D138" s="48"/>
      <c r="E138" s="48"/>
      <c r="F138" s="48"/>
      <c r="G138" s="48"/>
      <c r="H138" s="48"/>
      <c r="I138" s="48"/>
      <c r="J138" s="49"/>
      <c r="K138" s="48"/>
      <c r="L138" s="48"/>
      <c r="M138" s="7" t="s">
        <v>320</v>
      </c>
      <c r="N138" s="48"/>
      <c r="O138" s="49"/>
      <c r="P138" s="51"/>
    </row>
    <row r="139" spans="2:16" ht="47.25" x14ac:dyDescent="0.25">
      <c r="B139" s="37"/>
      <c r="C139" s="37"/>
      <c r="D139" s="37"/>
      <c r="E139" s="37"/>
      <c r="F139" s="37"/>
      <c r="G139" s="37"/>
      <c r="H139" s="37"/>
      <c r="I139" s="37"/>
      <c r="J139" s="39"/>
      <c r="K139" s="37"/>
      <c r="L139" s="37"/>
      <c r="M139" s="8" t="s">
        <v>321</v>
      </c>
      <c r="N139" s="37"/>
      <c r="O139" s="39"/>
      <c r="P139" s="52"/>
    </row>
    <row r="140" spans="2:16" ht="63" x14ac:dyDescent="0.25">
      <c r="B140" s="2">
        <v>82</v>
      </c>
      <c r="C140" s="2" t="str">
        <f>"NOS-26/15"</f>
        <v>NOS-26/15</v>
      </c>
      <c r="D140" s="2" t="s">
        <v>16</v>
      </c>
      <c r="E140" s="2" t="s">
        <v>17</v>
      </c>
      <c r="F140" s="2" t="s">
        <v>322</v>
      </c>
      <c r="G140" s="2" t="str">
        <f>"2015-51"</f>
        <v>2015-51</v>
      </c>
      <c r="H140" s="2" t="str">
        <f>"2015/S 003-0026989"</f>
        <v>2015/S 003-0026989</v>
      </c>
      <c r="I140" s="2" t="s">
        <v>19</v>
      </c>
      <c r="J140" s="3" t="str">
        <f>"2.000.000,00"</f>
        <v>2.000.000,00</v>
      </c>
      <c r="K140" s="2" t="s">
        <v>140</v>
      </c>
      <c r="L140" s="2" t="s">
        <v>141</v>
      </c>
      <c r="M140" s="2" t="s">
        <v>323</v>
      </c>
      <c r="N140" s="2" t="s">
        <v>23</v>
      </c>
      <c r="O140" s="3" t="str">
        <f>"68.425,00"</f>
        <v>68.425,00</v>
      </c>
      <c r="P140" s="4"/>
    </row>
    <row r="141" spans="2:16" s="15" customFormat="1" ht="63" x14ac:dyDescent="0.25">
      <c r="B141" s="12">
        <v>83</v>
      </c>
      <c r="C141" s="12" t="str">
        <f>"NOS-14/15"</f>
        <v>NOS-14/15</v>
      </c>
      <c r="D141" s="12" t="s">
        <v>16</v>
      </c>
      <c r="E141" s="12" t="s">
        <v>17</v>
      </c>
      <c r="F141" s="12" t="s">
        <v>324</v>
      </c>
      <c r="G141" s="12" t="str">
        <f>"2015-36"</f>
        <v>2015-36</v>
      </c>
      <c r="H141" s="12" t="str">
        <f>"2015/S 003-0021378"</f>
        <v>2015/S 003-0021378</v>
      </c>
      <c r="I141" s="12" t="s">
        <v>19</v>
      </c>
      <c r="J141" s="13" t="str">
        <f>"1.200.000,00"</f>
        <v>1.200.000,00</v>
      </c>
      <c r="K141" s="12" t="s">
        <v>244</v>
      </c>
      <c r="L141" s="12" t="s">
        <v>245</v>
      </c>
      <c r="M141" s="12" t="s">
        <v>138</v>
      </c>
      <c r="N141" s="12" t="s">
        <v>23</v>
      </c>
      <c r="O141" s="13" t="str">
        <f>"0,00"</f>
        <v>0,00</v>
      </c>
      <c r="P141" s="14"/>
    </row>
    <row r="142" spans="2:16" ht="47.25" x14ac:dyDescent="0.25">
      <c r="B142" s="2">
        <v>84</v>
      </c>
      <c r="C142" s="2" t="str">
        <f>"NOS-9/15"</f>
        <v>NOS-9/15</v>
      </c>
      <c r="D142" s="2" t="s">
        <v>284</v>
      </c>
      <c r="E142" s="2" t="s">
        <v>17</v>
      </c>
      <c r="F142" s="2" t="s">
        <v>325</v>
      </c>
      <c r="G142" s="2" t="str">
        <f>"2015-40"</f>
        <v>2015-40</v>
      </c>
      <c r="H142" s="2" t="str">
        <f>"2015/S 003-0020940"</f>
        <v>2015/S 003-0020940</v>
      </c>
      <c r="I142" s="2" t="s">
        <v>19</v>
      </c>
      <c r="J142" s="3" t="str">
        <f>"600.000,00"</f>
        <v>600.000,00</v>
      </c>
      <c r="K142" s="2" t="s">
        <v>326</v>
      </c>
      <c r="L142" s="2" t="s">
        <v>327</v>
      </c>
      <c r="M142" s="2" t="s">
        <v>197</v>
      </c>
      <c r="N142" s="2" t="s">
        <v>23</v>
      </c>
      <c r="O142" s="3" t="str">
        <f>"213.750,00"</f>
        <v>213.750,00</v>
      </c>
      <c r="P142" s="4"/>
    </row>
    <row r="143" spans="2:16" ht="78.75" x14ac:dyDescent="0.25">
      <c r="B143" s="2">
        <v>85</v>
      </c>
      <c r="C143" s="2" t="str">
        <f>"NOS-46-A/15"</f>
        <v>NOS-46-A/15</v>
      </c>
      <c r="D143" s="2" t="s">
        <v>16</v>
      </c>
      <c r="E143" s="2" t="s">
        <v>17</v>
      </c>
      <c r="F143" s="2" t="s">
        <v>328</v>
      </c>
      <c r="G143" s="2" t="str">
        <f>"2015-46"</f>
        <v>2015-46</v>
      </c>
      <c r="H143" s="2" t="str">
        <f>"2015/S 003-0030873"</f>
        <v>2015/S 003-0030873</v>
      </c>
      <c r="I143" s="2" t="s">
        <v>19</v>
      </c>
      <c r="J143" s="3" t="str">
        <f>"12.500.000,00"</f>
        <v>12.500.000,00</v>
      </c>
      <c r="K143" s="2" t="s">
        <v>225</v>
      </c>
      <c r="L143" s="2" t="s">
        <v>226</v>
      </c>
      <c r="M143" s="2" t="s">
        <v>329</v>
      </c>
      <c r="N143" s="2" t="s">
        <v>23</v>
      </c>
      <c r="O143" s="3" t="str">
        <f>"2.277.265,00"</f>
        <v>2.277.265,00</v>
      </c>
      <c r="P143" s="4"/>
    </row>
    <row r="144" spans="2:16" ht="47.25" x14ac:dyDescent="0.25">
      <c r="B144" s="2">
        <v>86</v>
      </c>
      <c r="C144" s="2" t="str">
        <f>"NOS-29/15"</f>
        <v>NOS-29/15</v>
      </c>
      <c r="D144" s="2" t="s">
        <v>16</v>
      </c>
      <c r="E144" s="2" t="s">
        <v>17</v>
      </c>
      <c r="F144" s="2" t="s">
        <v>330</v>
      </c>
      <c r="G144" s="2" t="str">
        <f>"2015-50"</f>
        <v>2015-50</v>
      </c>
      <c r="H144" s="2" t="str">
        <f>"2015/S 003-0026945"</f>
        <v>2015/S 003-0026945</v>
      </c>
      <c r="I144" s="2" t="s">
        <v>19</v>
      </c>
      <c r="J144" s="3" t="str">
        <f>"1.500.000,00"</f>
        <v>1.500.000,00</v>
      </c>
      <c r="K144" s="2" t="s">
        <v>195</v>
      </c>
      <c r="L144" s="2" t="s">
        <v>196</v>
      </c>
      <c r="M144" s="2" t="s">
        <v>331</v>
      </c>
      <c r="N144" s="2" t="s">
        <v>23</v>
      </c>
      <c r="O144" s="3" t="str">
        <f>"280.520,00"</f>
        <v>280.520,00</v>
      </c>
      <c r="P144" s="4"/>
    </row>
    <row r="145" spans="2:16" ht="47.25" x14ac:dyDescent="0.25">
      <c r="B145" s="2">
        <v>87</v>
      </c>
      <c r="C145" s="2" t="str">
        <f>"NOS-28-A/15"</f>
        <v>NOS-28-A/15</v>
      </c>
      <c r="D145" s="2" t="s">
        <v>16</v>
      </c>
      <c r="E145" s="2" t="s">
        <v>17</v>
      </c>
      <c r="F145" s="2" t="s">
        <v>332</v>
      </c>
      <c r="G145" s="2" t="str">
        <f>"2015-49"</f>
        <v>2015-49</v>
      </c>
      <c r="H145" s="2" t="str">
        <f>"2015/S 003-0024628"</f>
        <v>2015/S 003-0024628</v>
      </c>
      <c r="I145" s="2" t="s">
        <v>19</v>
      </c>
      <c r="J145" s="3" t="str">
        <f>"500.000,00"</f>
        <v>500.000,00</v>
      </c>
      <c r="K145" s="2" t="s">
        <v>199</v>
      </c>
      <c r="L145" s="2" t="s">
        <v>200</v>
      </c>
      <c r="M145" s="2" t="s">
        <v>144</v>
      </c>
      <c r="N145" s="2" t="s">
        <v>23</v>
      </c>
      <c r="O145" s="3" t="str">
        <f>"220.492,00"</f>
        <v>220.492,00</v>
      </c>
      <c r="P145" s="4"/>
    </row>
    <row r="146" spans="2:16" ht="31.5" x14ac:dyDescent="0.25">
      <c r="B146" s="36">
        <v>88</v>
      </c>
      <c r="C146" s="36" t="str">
        <f>"NOS-64/15"</f>
        <v>NOS-64/15</v>
      </c>
      <c r="D146" s="36" t="s">
        <v>16</v>
      </c>
      <c r="E146" s="53" t="s">
        <v>17</v>
      </c>
      <c r="F146" s="36" t="s">
        <v>333</v>
      </c>
      <c r="G146" s="36" t="str">
        <f>"2015-30"</f>
        <v>2015-30</v>
      </c>
      <c r="H146" s="36" t="str">
        <f>"2015/S 003-0027548"</f>
        <v>2015/S 003-0027548</v>
      </c>
      <c r="I146" s="36" t="s">
        <v>19</v>
      </c>
      <c r="J146" s="38" t="str">
        <f>"50.000.000,00"</f>
        <v>50.000.000,00</v>
      </c>
      <c r="K146" s="36" t="s">
        <v>162</v>
      </c>
      <c r="L146" s="36" t="s">
        <v>163</v>
      </c>
      <c r="M146" s="6" t="s">
        <v>334</v>
      </c>
      <c r="N146" s="36" t="s">
        <v>23</v>
      </c>
      <c r="O146" s="38" t="str">
        <f>"418.027,96"</f>
        <v>418.027,96</v>
      </c>
      <c r="P146" s="50"/>
    </row>
    <row r="147" spans="2:16" ht="31.5" x14ac:dyDescent="0.25">
      <c r="B147" s="48"/>
      <c r="C147" s="48"/>
      <c r="D147" s="48"/>
      <c r="E147" s="54"/>
      <c r="F147" s="48"/>
      <c r="G147" s="48"/>
      <c r="H147" s="48"/>
      <c r="I147" s="48"/>
      <c r="J147" s="49"/>
      <c r="K147" s="48"/>
      <c r="L147" s="48"/>
      <c r="M147" s="7" t="s">
        <v>335</v>
      </c>
      <c r="N147" s="48"/>
      <c r="O147" s="49"/>
      <c r="P147" s="51"/>
    </row>
    <row r="148" spans="2:16" ht="31.5" x14ac:dyDescent="0.25">
      <c r="B148" s="48"/>
      <c r="C148" s="48"/>
      <c r="D148" s="48"/>
      <c r="E148" s="54"/>
      <c r="F148" s="48"/>
      <c r="G148" s="48"/>
      <c r="H148" s="48"/>
      <c r="I148" s="48"/>
      <c r="J148" s="49"/>
      <c r="K148" s="48"/>
      <c r="L148" s="48"/>
      <c r="M148" s="7" t="s">
        <v>336</v>
      </c>
      <c r="N148" s="48"/>
      <c r="O148" s="49"/>
      <c r="P148" s="51"/>
    </row>
    <row r="149" spans="2:16" ht="31.5" x14ac:dyDescent="0.25">
      <c r="B149" s="48"/>
      <c r="C149" s="48"/>
      <c r="D149" s="48"/>
      <c r="E149" s="54"/>
      <c r="F149" s="48"/>
      <c r="G149" s="48"/>
      <c r="H149" s="48"/>
      <c r="I149" s="48"/>
      <c r="J149" s="49"/>
      <c r="K149" s="48"/>
      <c r="L149" s="48"/>
      <c r="M149" s="7" t="s">
        <v>250</v>
      </c>
      <c r="N149" s="48"/>
      <c r="O149" s="49"/>
      <c r="P149" s="51"/>
    </row>
    <row r="150" spans="2:16" ht="63" x14ac:dyDescent="0.25">
      <c r="B150" s="48"/>
      <c r="C150" s="48"/>
      <c r="D150" s="48"/>
      <c r="E150" s="54"/>
      <c r="F150" s="48"/>
      <c r="G150" s="48"/>
      <c r="H150" s="48"/>
      <c r="I150" s="48"/>
      <c r="J150" s="49"/>
      <c r="K150" s="48"/>
      <c r="L150" s="48"/>
      <c r="M150" s="7" t="s">
        <v>337</v>
      </c>
      <c r="N150" s="48"/>
      <c r="O150" s="49"/>
      <c r="P150" s="51"/>
    </row>
    <row r="151" spans="2:16" ht="31.5" x14ac:dyDescent="0.25">
      <c r="B151" s="48"/>
      <c r="C151" s="48"/>
      <c r="D151" s="48"/>
      <c r="E151" s="54"/>
      <c r="F151" s="48"/>
      <c r="G151" s="48"/>
      <c r="H151" s="48"/>
      <c r="I151" s="48"/>
      <c r="J151" s="49"/>
      <c r="K151" s="48"/>
      <c r="L151" s="48"/>
      <c r="M151" s="7" t="s">
        <v>338</v>
      </c>
      <c r="N151" s="48"/>
      <c r="O151" s="49"/>
      <c r="P151" s="51"/>
    </row>
    <row r="152" spans="2:16" ht="31.5" x14ac:dyDescent="0.25">
      <c r="B152" s="48"/>
      <c r="C152" s="48"/>
      <c r="D152" s="48"/>
      <c r="E152" s="54"/>
      <c r="F152" s="48"/>
      <c r="G152" s="48"/>
      <c r="H152" s="48"/>
      <c r="I152" s="48"/>
      <c r="J152" s="49"/>
      <c r="K152" s="48"/>
      <c r="L152" s="48"/>
      <c r="M152" s="7" t="s">
        <v>266</v>
      </c>
      <c r="N152" s="48"/>
      <c r="O152" s="49"/>
      <c r="P152" s="51"/>
    </row>
    <row r="153" spans="2:16" ht="47.25" x14ac:dyDescent="0.25">
      <c r="B153" s="48"/>
      <c r="C153" s="48"/>
      <c r="D153" s="48"/>
      <c r="E153" s="54"/>
      <c r="F153" s="48"/>
      <c r="G153" s="48"/>
      <c r="H153" s="48"/>
      <c r="I153" s="48"/>
      <c r="J153" s="49"/>
      <c r="K153" s="48"/>
      <c r="L153" s="48"/>
      <c r="M153" s="7" t="s">
        <v>339</v>
      </c>
      <c r="N153" s="48"/>
      <c r="O153" s="49"/>
      <c r="P153" s="51"/>
    </row>
    <row r="154" spans="2:16" ht="31.5" x14ac:dyDescent="0.25">
      <c r="B154" s="48"/>
      <c r="C154" s="48"/>
      <c r="D154" s="48"/>
      <c r="E154" s="54"/>
      <c r="F154" s="48"/>
      <c r="G154" s="48"/>
      <c r="H154" s="48"/>
      <c r="I154" s="48"/>
      <c r="J154" s="49"/>
      <c r="K154" s="48"/>
      <c r="L154" s="48"/>
      <c r="M154" s="7" t="s">
        <v>249</v>
      </c>
      <c r="N154" s="48"/>
      <c r="O154" s="49"/>
      <c r="P154" s="51"/>
    </row>
    <row r="155" spans="2:16" ht="47.25" x14ac:dyDescent="0.25">
      <c r="B155" s="48"/>
      <c r="C155" s="48"/>
      <c r="D155" s="48"/>
      <c r="E155" s="54"/>
      <c r="F155" s="48"/>
      <c r="G155" s="48"/>
      <c r="H155" s="48"/>
      <c r="I155" s="48"/>
      <c r="J155" s="49"/>
      <c r="K155" s="48"/>
      <c r="L155" s="48"/>
      <c r="M155" s="7" t="s">
        <v>340</v>
      </c>
      <c r="N155" s="48"/>
      <c r="O155" s="49"/>
      <c r="P155" s="51"/>
    </row>
    <row r="156" spans="2:16" ht="47.25" x14ac:dyDescent="0.25">
      <c r="B156" s="48"/>
      <c r="C156" s="48"/>
      <c r="D156" s="48"/>
      <c r="E156" s="54"/>
      <c r="F156" s="48"/>
      <c r="G156" s="48"/>
      <c r="H156" s="48"/>
      <c r="I156" s="48"/>
      <c r="J156" s="49"/>
      <c r="K156" s="48"/>
      <c r="L156" s="48"/>
      <c r="M156" s="7" t="s">
        <v>341</v>
      </c>
      <c r="N156" s="48"/>
      <c r="O156" s="49"/>
      <c r="P156" s="51"/>
    </row>
    <row r="157" spans="2:16" ht="31.5" x14ac:dyDescent="0.25">
      <c r="B157" s="48"/>
      <c r="C157" s="48"/>
      <c r="D157" s="48"/>
      <c r="E157" s="54"/>
      <c r="F157" s="48"/>
      <c r="G157" s="48"/>
      <c r="H157" s="48"/>
      <c r="I157" s="48"/>
      <c r="J157" s="49"/>
      <c r="K157" s="48"/>
      <c r="L157" s="48"/>
      <c r="M157" s="7" t="s">
        <v>342</v>
      </c>
      <c r="N157" s="48"/>
      <c r="O157" s="49"/>
      <c r="P157" s="51"/>
    </row>
    <row r="158" spans="2:16" ht="31.5" x14ac:dyDescent="0.25">
      <c r="B158" s="48"/>
      <c r="C158" s="48"/>
      <c r="D158" s="48"/>
      <c r="E158" s="54"/>
      <c r="F158" s="48"/>
      <c r="G158" s="48"/>
      <c r="H158" s="48"/>
      <c r="I158" s="48"/>
      <c r="J158" s="49"/>
      <c r="K158" s="48"/>
      <c r="L158" s="48"/>
      <c r="M158" s="7" t="s">
        <v>343</v>
      </c>
      <c r="N158" s="48"/>
      <c r="O158" s="49"/>
      <c r="P158" s="51"/>
    </row>
    <row r="159" spans="2:16" ht="31.5" x14ac:dyDescent="0.25">
      <c r="B159" s="48"/>
      <c r="C159" s="48"/>
      <c r="D159" s="48"/>
      <c r="E159" s="54"/>
      <c r="F159" s="48"/>
      <c r="G159" s="48"/>
      <c r="H159" s="48"/>
      <c r="I159" s="48"/>
      <c r="J159" s="49"/>
      <c r="K159" s="48"/>
      <c r="L159" s="48"/>
      <c r="M159" s="7" t="s">
        <v>248</v>
      </c>
      <c r="N159" s="48"/>
      <c r="O159" s="49"/>
      <c r="P159" s="51"/>
    </row>
    <row r="160" spans="2:16" ht="31.5" x14ac:dyDescent="0.25">
      <c r="B160" s="48"/>
      <c r="C160" s="48"/>
      <c r="D160" s="48"/>
      <c r="E160" s="54"/>
      <c r="F160" s="48"/>
      <c r="G160" s="48"/>
      <c r="H160" s="48"/>
      <c r="I160" s="48"/>
      <c r="J160" s="49"/>
      <c r="K160" s="48"/>
      <c r="L160" s="48"/>
      <c r="M160" s="7" t="s">
        <v>344</v>
      </c>
      <c r="N160" s="48"/>
      <c r="O160" s="49"/>
      <c r="P160" s="51"/>
    </row>
    <row r="161" spans="2:16" ht="31.5" x14ac:dyDescent="0.25">
      <c r="B161" s="48"/>
      <c r="C161" s="48"/>
      <c r="D161" s="48"/>
      <c r="E161" s="54"/>
      <c r="F161" s="48"/>
      <c r="G161" s="48"/>
      <c r="H161" s="48"/>
      <c r="I161" s="48"/>
      <c r="J161" s="49"/>
      <c r="K161" s="48"/>
      <c r="L161" s="48"/>
      <c r="M161" s="7" t="s">
        <v>345</v>
      </c>
      <c r="N161" s="48"/>
      <c r="O161" s="49"/>
      <c r="P161" s="51"/>
    </row>
    <row r="162" spans="2:16" ht="31.5" x14ac:dyDescent="0.25">
      <c r="B162" s="48"/>
      <c r="C162" s="48"/>
      <c r="D162" s="48"/>
      <c r="E162" s="54"/>
      <c r="F162" s="48"/>
      <c r="G162" s="48"/>
      <c r="H162" s="48"/>
      <c r="I162" s="48"/>
      <c r="J162" s="49"/>
      <c r="K162" s="48"/>
      <c r="L162" s="48"/>
      <c r="M162" s="7" t="s">
        <v>346</v>
      </c>
      <c r="N162" s="48"/>
      <c r="O162" s="49"/>
      <c r="P162" s="51"/>
    </row>
    <row r="163" spans="2:16" ht="47.25" x14ac:dyDescent="0.25">
      <c r="B163" s="48"/>
      <c r="C163" s="48"/>
      <c r="D163" s="48"/>
      <c r="E163" s="54"/>
      <c r="F163" s="48"/>
      <c r="G163" s="48"/>
      <c r="H163" s="48"/>
      <c r="I163" s="48"/>
      <c r="J163" s="49"/>
      <c r="K163" s="48"/>
      <c r="L163" s="48"/>
      <c r="M163" s="7" t="s">
        <v>347</v>
      </c>
      <c r="N163" s="48"/>
      <c r="O163" s="49"/>
      <c r="P163" s="51"/>
    </row>
    <row r="164" spans="2:16" ht="47.25" x14ac:dyDescent="0.25">
      <c r="B164" s="48"/>
      <c r="C164" s="48"/>
      <c r="D164" s="48"/>
      <c r="E164" s="54"/>
      <c r="F164" s="48"/>
      <c r="G164" s="48"/>
      <c r="H164" s="48"/>
      <c r="I164" s="48"/>
      <c r="J164" s="49"/>
      <c r="K164" s="48"/>
      <c r="L164" s="48"/>
      <c r="M164" s="7" t="s">
        <v>348</v>
      </c>
      <c r="N164" s="48"/>
      <c r="O164" s="49"/>
      <c r="P164" s="51"/>
    </row>
    <row r="165" spans="2:16" ht="31.5" x14ac:dyDescent="0.25">
      <c r="B165" s="37"/>
      <c r="C165" s="37"/>
      <c r="D165" s="37"/>
      <c r="E165" s="55"/>
      <c r="F165" s="37"/>
      <c r="G165" s="37"/>
      <c r="H165" s="37"/>
      <c r="I165" s="37"/>
      <c r="J165" s="39"/>
      <c r="K165" s="37"/>
      <c r="L165" s="37"/>
      <c r="M165" s="8" t="s">
        <v>349</v>
      </c>
      <c r="N165" s="37"/>
      <c r="O165" s="39"/>
      <c r="P165" s="52"/>
    </row>
    <row r="166" spans="2:16" ht="47.25" x14ac:dyDescent="0.25">
      <c r="B166" s="2">
        <v>89</v>
      </c>
      <c r="C166" s="2" t="str">
        <f>"NOS-22/15"</f>
        <v>NOS-22/15</v>
      </c>
      <c r="D166" s="2" t="s">
        <v>16</v>
      </c>
      <c r="E166" s="2" t="s">
        <v>17</v>
      </c>
      <c r="F166" s="2" t="s">
        <v>350</v>
      </c>
      <c r="G166" s="2" t="str">
        <f>"2015-52"</f>
        <v>2015-52</v>
      </c>
      <c r="H166" s="2" t="str">
        <f>"2015/S 003-0026900"</f>
        <v>2015/S 003-0026900</v>
      </c>
      <c r="I166" s="2" t="s">
        <v>19</v>
      </c>
      <c r="J166" s="3" t="str">
        <f>"500.000,00"</f>
        <v>500.000,00</v>
      </c>
      <c r="K166" s="2" t="s">
        <v>140</v>
      </c>
      <c r="L166" s="2" t="s">
        <v>141</v>
      </c>
      <c r="M166" s="2" t="s">
        <v>351</v>
      </c>
      <c r="N166" s="2" t="s">
        <v>23</v>
      </c>
      <c r="O166" s="3" t="str">
        <f>"16.944,00"</f>
        <v>16.944,00</v>
      </c>
      <c r="P166" s="4"/>
    </row>
    <row r="167" spans="2:16" ht="63" x14ac:dyDescent="0.25">
      <c r="B167" s="2">
        <v>90</v>
      </c>
      <c r="C167" s="2" t="str">
        <f>"NOS-37/15"</f>
        <v>NOS-37/15</v>
      </c>
      <c r="D167" s="2" t="s">
        <v>284</v>
      </c>
      <c r="E167" s="2" t="s">
        <v>17</v>
      </c>
      <c r="F167" s="2" t="s">
        <v>352</v>
      </c>
      <c r="G167" s="2" t="str">
        <f>"2015-54"</f>
        <v>2015-54</v>
      </c>
      <c r="H167" s="2" t="str">
        <f>"2015/S 003-0027129"</f>
        <v>2015/S 003-0027129</v>
      </c>
      <c r="I167" s="2" t="s">
        <v>19</v>
      </c>
      <c r="J167" s="3" t="str">
        <f>"1.820.000,00"</f>
        <v>1.820.000,00</v>
      </c>
      <c r="K167" s="2" t="s">
        <v>353</v>
      </c>
      <c r="L167" s="2" t="s">
        <v>354</v>
      </c>
      <c r="M167" s="2" t="s">
        <v>355</v>
      </c>
      <c r="N167" s="2" t="s">
        <v>23</v>
      </c>
      <c r="O167" s="3" t="str">
        <f>"616.000,00"</f>
        <v>616.000,00</v>
      </c>
      <c r="P167" s="4"/>
    </row>
    <row r="168" spans="2:16" ht="47.25" x14ac:dyDescent="0.25">
      <c r="B168" s="2">
        <v>91</v>
      </c>
      <c r="C168" s="2" t="str">
        <f>"NOS-53/15"</f>
        <v>NOS-53/15</v>
      </c>
      <c r="D168" s="2" t="s">
        <v>356</v>
      </c>
      <c r="E168" s="2" t="s">
        <v>17</v>
      </c>
      <c r="F168" s="2" t="s">
        <v>357</v>
      </c>
      <c r="G168" s="2" t="str">
        <f>"2015-60"</f>
        <v>2015-60</v>
      </c>
      <c r="H168" s="2" t="str">
        <f>"2015/S 003-0029741"</f>
        <v>2015/S 003-0029741</v>
      </c>
      <c r="I168" s="2" t="s">
        <v>19</v>
      </c>
      <c r="J168" s="3" t="str">
        <f>"2.240.000,00"</f>
        <v>2.240.000,00</v>
      </c>
      <c r="K168" s="2" t="s">
        <v>59</v>
      </c>
      <c r="L168" s="2" t="s">
        <v>60</v>
      </c>
      <c r="M168" s="2" t="s">
        <v>358</v>
      </c>
      <c r="N168" s="2" t="s">
        <v>23</v>
      </c>
      <c r="O168" s="3" t="str">
        <f>"0,00"</f>
        <v>0,00</v>
      </c>
      <c r="P168" s="4"/>
    </row>
    <row r="169" spans="2:16" ht="63" x14ac:dyDescent="0.25">
      <c r="B169" s="2">
        <v>92</v>
      </c>
      <c r="C169" s="2" t="str">
        <f>"NOS-59-A/15"</f>
        <v>NOS-59-A/15</v>
      </c>
      <c r="D169" s="2" t="s">
        <v>16</v>
      </c>
      <c r="E169" s="2" t="s">
        <v>17</v>
      </c>
      <c r="F169" s="2" t="s">
        <v>359</v>
      </c>
      <c r="G169" s="2" t="str">
        <f>"2015-1806"</f>
        <v>2015-1806</v>
      </c>
      <c r="H169" s="2" t="str">
        <f>"2015/S 003-0027603"</f>
        <v>2015/S 003-0027603</v>
      </c>
      <c r="I169" s="2" t="s">
        <v>19</v>
      </c>
      <c r="J169" s="3" t="str">
        <f>"600.000,00"</f>
        <v>600.000,00</v>
      </c>
      <c r="K169" s="2" t="s">
        <v>360</v>
      </c>
      <c r="L169" s="2" t="s">
        <v>361</v>
      </c>
      <c r="M169" s="2" t="s">
        <v>144</v>
      </c>
      <c r="N169" s="2" t="s">
        <v>23</v>
      </c>
      <c r="O169" s="3" t="str">
        <f>"98.641,00"</f>
        <v>98.641,00</v>
      </c>
      <c r="P169" s="4"/>
    </row>
    <row r="170" spans="2:16" ht="47.25" x14ac:dyDescent="0.25">
      <c r="B170" s="2">
        <v>93</v>
      </c>
      <c r="C170" s="2" t="str">
        <f>"NOS-30/15"</f>
        <v>NOS-30/15</v>
      </c>
      <c r="D170" s="2" t="s">
        <v>362</v>
      </c>
      <c r="E170" s="2" t="s">
        <v>17</v>
      </c>
      <c r="F170" s="2" t="s">
        <v>363</v>
      </c>
      <c r="G170" s="2" t="str">
        <f>"2015-25"</f>
        <v>2015-25</v>
      </c>
      <c r="H170" s="2" t="str">
        <f>"2015/S 003-0026433"</f>
        <v>2015/S 003-0026433</v>
      </c>
      <c r="I170" s="2" t="s">
        <v>19</v>
      </c>
      <c r="J170" s="3" t="str">
        <f>"9.000.000,00"</f>
        <v>9.000.000,00</v>
      </c>
      <c r="K170" s="2" t="s">
        <v>364</v>
      </c>
      <c r="L170" s="2" t="s">
        <v>365</v>
      </c>
      <c r="M170" s="2" t="s">
        <v>366</v>
      </c>
      <c r="N170" s="2" t="s">
        <v>23</v>
      </c>
      <c r="O170" s="3" t="str">
        <f>"0,00"</f>
        <v>0,00</v>
      </c>
      <c r="P170" s="4"/>
    </row>
    <row r="171" spans="2:16" ht="31.5" x14ac:dyDescent="0.25">
      <c r="B171" s="2">
        <v>94</v>
      </c>
      <c r="C171" s="2" t="str">
        <f>"NOS-21/15"</f>
        <v>NOS-21/15</v>
      </c>
      <c r="D171" s="2" t="s">
        <v>16</v>
      </c>
      <c r="E171" s="2" t="s">
        <v>17</v>
      </c>
      <c r="F171" s="2" t="s">
        <v>367</v>
      </c>
      <c r="G171" s="2" t="str">
        <f>"2015-57"</f>
        <v>2015-57</v>
      </c>
      <c r="H171" s="2" t="str">
        <f>"2015/S 003-0020934"</f>
        <v>2015/S 003-0020934</v>
      </c>
      <c r="I171" s="2" t="s">
        <v>19</v>
      </c>
      <c r="J171" s="3" t="str">
        <f>"800.000,00"</f>
        <v>800.000,00</v>
      </c>
      <c r="K171" s="2" t="s">
        <v>368</v>
      </c>
      <c r="L171" s="2" t="s">
        <v>369</v>
      </c>
      <c r="M171" s="2" t="s">
        <v>370</v>
      </c>
      <c r="N171" s="2" t="s">
        <v>23</v>
      </c>
      <c r="O171" s="3" t="str">
        <f>"299.870,00"</f>
        <v>299.870,00</v>
      </c>
      <c r="P171" s="4"/>
    </row>
    <row r="172" spans="2:16" ht="31.5" x14ac:dyDescent="0.25">
      <c r="B172" s="2">
        <v>95</v>
      </c>
      <c r="C172" s="2" t="str">
        <f>"NOS-25/15"</f>
        <v>NOS-25/15</v>
      </c>
      <c r="D172" s="2" t="s">
        <v>16</v>
      </c>
      <c r="E172" s="2" t="s">
        <v>17</v>
      </c>
      <c r="F172" s="2" t="s">
        <v>371</v>
      </c>
      <c r="G172" s="2" t="str">
        <f>"2015-1243"</f>
        <v>2015-1243</v>
      </c>
      <c r="H172" s="2" t="str">
        <f>"2015/S 003-0022307"</f>
        <v>2015/S 003-0022307</v>
      </c>
      <c r="I172" s="2" t="s">
        <v>19</v>
      </c>
      <c r="J172" s="3" t="str">
        <f>"1.000.000,00"</f>
        <v>1.000.000,00</v>
      </c>
      <c r="K172" s="2" t="s">
        <v>315</v>
      </c>
      <c r="L172" s="2" t="s">
        <v>316</v>
      </c>
      <c r="M172" s="2" t="s">
        <v>50</v>
      </c>
      <c r="N172" s="2" t="s">
        <v>23</v>
      </c>
      <c r="O172" s="3" t="str">
        <f>"188.304,80"</f>
        <v>188.304,80</v>
      </c>
      <c r="P172" s="4"/>
    </row>
    <row r="173" spans="2:16" ht="63" x14ac:dyDescent="0.25">
      <c r="B173" s="2">
        <v>96</v>
      </c>
      <c r="C173" s="2" t="str">
        <f>"NOS-43/15"</f>
        <v>NOS-43/15</v>
      </c>
      <c r="D173" s="2" t="s">
        <v>16</v>
      </c>
      <c r="E173" s="2" t="s">
        <v>17</v>
      </c>
      <c r="F173" s="2" t="s">
        <v>372</v>
      </c>
      <c r="G173" s="2" t="str">
        <f>"2015-55"</f>
        <v>2015-55</v>
      </c>
      <c r="H173" s="2" t="str">
        <f>"2015/S 003-0026901"</f>
        <v>2015/S 003-0026901</v>
      </c>
      <c r="I173" s="2" t="s">
        <v>19</v>
      </c>
      <c r="J173" s="3" t="str">
        <f>"2.000.000,00"</f>
        <v>2.000.000,00</v>
      </c>
      <c r="K173" s="2" t="s">
        <v>140</v>
      </c>
      <c r="L173" s="2" t="s">
        <v>141</v>
      </c>
      <c r="M173" s="2" t="s">
        <v>373</v>
      </c>
      <c r="N173" s="2" t="s">
        <v>23</v>
      </c>
      <c r="O173" s="3" t="str">
        <f>"1.971.516,98"</f>
        <v>1.971.516,98</v>
      </c>
      <c r="P173" s="4"/>
    </row>
    <row r="174" spans="2:16" ht="63" x14ac:dyDescent="0.25">
      <c r="B174" s="2">
        <v>97</v>
      </c>
      <c r="C174" s="2" t="str">
        <f>"NOS-34/15"</f>
        <v>NOS-34/15</v>
      </c>
      <c r="D174" s="2" t="s">
        <v>16</v>
      </c>
      <c r="E174" s="2" t="s">
        <v>17</v>
      </c>
      <c r="F174" s="2" t="s">
        <v>374</v>
      </c>
      <c r="G174" s="2" t="str">
        <f>"2015-56"</f>
        <v>2015-56</v>
      </c>
      <c r="H174" s="2" t="str">
        <f>"2015/S 003-0022310"</f>
        <v>2015/S 003-0022310</v>
      </c>
      <c r="I174" s="2" t="s">
        <v>19</v>
      </c>
      <c r="J174" s="3" t="str">
        <f>"2.000.000,00"</f>
        <v>2.000.000,00</v>
      </c>
      <c r="K174" s="2" t="s">
        <v>375</v>
      </c>
      <c r="L174" s="2" t="s">
        <v>376</v>
      </c>
      <c r="M174" s="2" t="s">
        <v>377</v>
      </c>
      <c r="N174" s="2" t="s">
        <v>23</v>
      </c>
      <c r="O174" s="3" t="str">
        <f>"0,00"</f>
        <v>0,00</v>
      </c>
      <c r="P174" s="4"/>
    </row>
    <row r="175" spans="2:16" ht="63" x14ac:dyDescent="0.25">
      <c r="B175" s="2">
        <v>98</v>
      </c>
      <c r="C175" s="2" t="str">
        <f>"NOS-27-A/15"</f>
        <v>NOS-27-A/15</v>
      </c>
      <c r="D175" s="2" t="s">
        <v>16</v>
      </c>
      <c r="E175" s="2" t="s">
        <v>17</v>
      </c>
      <c r="F175" s="2" t="s">
        <v>378</v>
      </c>
      <c r="G175" s="2" t="str">
        <f>"2015-48"</f>
        <v>2015-48</v>
      </c>
      <c r="H175" s="2" t="str">
        <f>"2015/S 003-0027005"</f>
        <v>2015/S 003-0027005</v>
      </c>
      <c r="I175" s="2" t="s">
        <v>19</v>
      </c>
      <c r="J175" s="3" t="str">
        <f>"600.000,00"</f>
        <v>600.000,00</v>
      </c>
      <c r="K175" s="2" t="s">
        <v>140</v>
      </c>
      <c r="L175" s="2" t="s">
        <v>141</v>
      </c>
      <c r="M175" s="2" t="s">
        <v>340</v>
      </c>
      <c r="N175" s="2" t="s">
        <v>23</v>
      </c>
      <c r="O175" s="3" t="str">
        <f>"51.645,96"</f>
        <v>51.645,96</v>
      </c>
      <c r="P175" s="4"/>
    </row>
    <row r="176" spans="2:16" ht="47.25" x14ac:dyDescent="0.25">
      <c r="B176" s="2">
        <v>99</v>
      </c>
      <c r="C176" s="2" t="str">
        <f>"NOS-100-B-ZGH/14"</f>
        <v>NOS-100-B-ZGH/14</v>
      </c>
      <c r="D176" s="2" t="s">
        <v>16</v>
      </c>
      <c r="E176" s="2" t="s">
        <v>17</v>
      </c>
      <c r="F176" s="2" t="s">
        <v>379</v>
      </c>
      <c r="G176" s="2" t="str">
        <f>"2014-56"</f>
        <v>2014-56</v>
      </c>
      <c r="H176" s="2" t="str">
        <f>" 2015/S 003-0007985"</f>
        <v xml:space="preserve"> 2015/S 003-0007985</v>
      </c>
      <c r="I176" s="2" t="s">
        <v>19</v>
      </c>
      <c r="J176" s="3" t="str">
        <f>"500.000,00"</f>
        <v>500.000,00</v>
      </c>
      <c r="K176" s="2" t="s">
        <v>380</v>
      </c>
      <c r="L176" s="2" t="s">
        <v>381</v>
      </c>
      <c r="M176" s="2" t="s">
        <v>382</v>
      </c>
      <c r="N176" s="2" t="s">
        <v>23</v>
      </c>
      <c r="O176" s="3" t="str">
        <f>"21.559,83"</f>
        <v>21.559,83</v>
      </c>
      <c r="P176" s="4"/>
    </row>
    <row r="177" spans="2:16" ht="110.25" x14ac:dyDescent="0.25">
      <c r="B177" s="2">
        <v>100</v>
      </c>
      <c r="C177" s="2" t="str">
        <f>"NOS-102-A-ZGH/14"</f>
        <v>NOS-102-A-ZGH/14</v>
      </c>
      <c r="D177" s="2" t="s">
        <v>16</v>
      </c>
      <c r="E177" s="2" t="s">
        <v>17</v>
      </c>
      <c r="F177" s="2" t="s">
        <v>383</v>
      </c>
      <c r="G177" s="2" t="str">
        <f>"2014-2311"</f>
        <v>2014-2311</v>
      </c>
      <c r="H177" s="2" t="str">
        <f>"2015/S 003-0005907"</f>
        <v>2015/S 003-0005907</v>
      </c>
      <c r="I177" s="2" t="s">
        <v>19</v>
      </c>
      <c r="J177" s="3" t="str">
        <f>"1.453.780,00"</f>
        <v>1.453.780,00</v>
      </c>
      <c r="K177" s="2" t="s">
        <v>20</v>
      </c>
      <c r="L177" s="2" t="s">
        <v>21</v>
      </c>
      <c r="M177" s="2" t="s">
        <v>384</v>
      </c>
      <c r="N177" s="2" t="s">
        <v>23</v>
      </c>
      <c r="O177" s="3" t="str">
        <f>"159.557,00"</f>
        <v>159.557,00</v>
      </c>
      <c r="P177" s="4"/>
    </row>
    <row r="178" spans="2:16" ht="63" x14ac:dyDescent="0.25">
      <c r="B178" s="2">
        <v>101</v>
      </c>
      <c r="C178" s="2" t="str">
        <f>"NOS-112/15"</f>
        <v>NOS-112/15</v>
      </c>
      <c r="D178" s="2" t="s">
        <v>16</v>
      </c>
      <c r="E178" s="2" t="s">
        <v>17</v>
      </c>
      <c r="F178" s="2" t="s">
        <v>385</v>
      </c>
      <c r="G178" s="2" t="str">
        <f>"2015-2369"</f>
        <v>2015-2369</v>
      </c>
      <c r="H178" s="2" t="s">
        <v>1537</v>
      </c>
      <c r="I178" s="2" t="s">
        <v>19</v>
      </c>
      <c r="J178" s="3" t="str">
        <f>"1.500.000,00"</f>
        <v>1.500.000,00</v>
      </c>
      <c r="K178" s="2" t="s">
        <v>386</v>
      </c>
      <c r="L178" s="2" t="s">
        <v>387</v>
      </c>
      <c r="M178" s="2" t="s">
        <v>388</v>
      </c>
      <c r="N178" s="2" t="s">
        <v>23</v>
      </c>
      <c r="O178" s="3" t="str">
        <f>"391.843,34"</f>
        <v>391.843,34</v>
      </c>
      <c r="P178" s="4"/>
    </row>
    <row r="179" spans="2:16" ht="47.25" x14ac:dyDescent="0.25">
      <c r="B179" s="2">
        <v>102</v>
      </c>
      <c r="C179" s="2" t="str">
        <f>"NOS-136-A/15"</f>
        <v>NOS-136-A/15</v>
      </c>
      <c r="D179" s="2" t="s">
        <v>16</v>
      </c>
      <c r="E179" s="2" t="s">
        <v>17</v>
      </c>
      <c r="F179" s="2" t="s">
        <v>389</v>
      </c>
      <c r="G179" s="2" t="str">
        <f>"2015-2429"</f>
        <v>2015-2429</v>
      </c>
      <c r="H179" s="2" t="s">
        <v>1538</v>
      </c>
      <c r="I179" s="2" t="s">
        <v>19</v>
      </c>
      <c r="J179" s="3" t="str">
        <f>"1.000.000,00"</f>
        <v>1.000.000,00</v>
      </c>
      <c r="K179" s="2" t="s">
        <v>390</v>
      </c>
      <c r="L179" s="2" t="s">
        <v>391</v>
      </c>
      <c r="M179" s="2" t="s">
        <v>392</v>
      </c>
      <c r="N179" s="2" t="s">
        <v>23</v>
      </c>
      <c r="O179" s="3" t="str">
        <f t="shared" ref="O179:O187" si="0">"0,00"</f>
        <v>0,00</v>
      </c>
      <c r="P179" s="4"/>
    </row>
    <row r="180" spans="2:16" ht="47.25" x14ac:dyDescent="0.25">
      <c r="B180" s="2">
        <v>103</v>
      </c>
      <c r="C180" s="2" t="str">
        <f>"NOS-134/15"</f>
        <v>NOS-134/15</v>
      </c>
      <c r="D180" s="2" t="s">
        <v>16</v>
      </c>
      <c r="E180" s="2" t="s">
        <v>17</v>
      </c>
      <c r="F180" s="2" t="s">
        <v>393</v>
      </c>
      <c r="G180" s="2" t="str">
        <f>"2015-2435"</f>
        <v>2015-2435</v>
      </c>
      <c r="H180" s="2" t="s">
        <v>1539</v>
      </c>
      <c r="I180" s="2" t="s">
        <v>19</v>
      </c>
      <c r="J180" s="3" t="str">
        <f>"800.000,00"</f>
        <v>800.000,00</v>
      </c>
      <c r="K180" s="2" t="s">
        <v>394</v>
      </c>
      <c r="L180" s="2" t="s">
        <v>395</v>
      </c>
      <c r="M180" s="2" t="s">
        <v>396</v>
      </c>
      <c r="N180" s="2" t="s">
        <v>23</v>
      </c>
      <c r="O180" s="3" t="str">
        <f t="shared" si="0"/>
        <v>0,00</v>
      </c>
      <c r="P180" s="4"/>
    </row>
    <row r="181" spans="2:16" ht="47.25" x14ac:dyDescent="0.25">
      <c r="B181" s="2">
        <v>104</v>
      </c>
      <c r="C181" s="2" t="str">
        <f>"NOS-131/15"</f>
        <v>NOS-131/15</v>
      </c>
      <c r="D181" s="2" t="s">
        <v>16</v>
      </c>
      <c r="E181" s="2" t="s">
        <v>17</v>
      </c>
      <c r="F181" s="2" t="s">
        <v>397</v>
      </c>
      <c r="G181" s="2" t="str">
        <f>"2015-2396"</f>
        <v>2015-2396</v>
      </c>
      <c r="H181" s="2" t="s">
        <v>1540</v>
      </c>
      <c r="I181" s="2" t="s">
        <v>19</v>
      </c>
      <c r="J181" s="3" t="str">
        <f>"250.000,00"</f>
        <v>250.000,00</v>
      </c>
      <c r="K181" s="2" t="s">
        <v>398</v>
      </c>
      <c r="L181" s="2" t="s">
        <v>399</v>
      </c>
      <c r="M181" s="2" t="s">
        <v>122</v>
      </c>
      <c r="N181" s="2" t="s">
        <v>23</v>
      </c>
      <c r="O181" s="3" t="str">
        <f t="shared" si="0"/>
        <v>0,00</v>
      </c>
      <c r="P181" s="4"/>
    </row>
    <row r="182" spans="2:16" ht="47.25" x14ac:dyDescent="0.25">
      <c r="B182" s="2">
        <v>105</v>
      </c>
      <c r="C182" s="2" t="str">
        <f>"NOS-132-A/15"</f>
        <v>NOS-132-A/15</v>
      </c>
      <c r="D182" s="2" t="s">
        <v>16</v>
      </c>
      <c r="E182" s="2" t="s">
        <v>17</v>
      </c>
      <c r="F182" s="2" t="s">
        <v>400</v>
      </c>
      <c r="G182" s="2" t="str">
        <f>"2015-2487"</f>
        <v>2015-2487</v>
      </c>
      <c r="H182" s="2" t="s">
        <v>1541</v>
      </c>
      <c r="I182" s="2" t="s">
        <v>19</v>
      </c>
      <c r="J182" s="3" t="str">
        <f>"850.000,00"</f>
        <v>850.000,00</v>
      </c>
      <c r="K182" s="2" t="s">
        <v>401</v>
      </c>
      <c r="L182" s="2" t="s">
        <v>402</v>
      </c>
      <c r="M182" s="2" t="s">
        <v>50</v>
      </c>
      <c r="N182" s="2" t="s">
        <v>23</v>
      </c>
      <c r="O182" s="3" t="str">
        <f t="shared" si="0"/>
        <v>0,00</v>
      </c>
      <c r="P182" s="4"/>
    </row>
    <row r="183" spans="2:16" ht="47.25" x14ac:dyDescent="0.25">
      <c r="B183" s="2">
        <v>106</v>
      </c>
      <c r="C183" s="2" t="str">
        <f>"NOS-133/15"</f>
        <v>NOS-133/15</v>
      </c>
      <c r="D183" s="2" t="s">
        <v>16</v>
      </c>
      <c r="E183" s="2" t="s">
        <v>17</v>
      </c>
      <c r="F183" s="2" t="s">
        <v>403</v>
      </c>
      <c r="G183" s="2" t="str">
        <f>"2015-2514"</f>
        <v>2015-2514</v>
      </c>
      <c r="H183" s="2" t="s">
        <v>1542</v>
      </c>
      <c r="I183" s="2" t="s">
        <v>19</v>
      </c>
      <c r="J183" s="3" t="str">
        <f>"600.000,00"</f>
        <v>600.000,00</v>
      </c>
      <c r="K183" s="2" t="s">
        <v>394</v>
      </c>
      <c r="L183" s="2" t="s">
        <v>395</v>
      </c>
      <c r="M183" s="2" t="s">
        <v>153</v>
      </c>
      <c r="N183" s="2" t="s">
        <v>23</v>
      </c>
      <c r="O183" s="3" t="str">
        <f t="shared" si="0"/>
        <v>0,00</v>
      </c>
      <c r="P183" s="4"/>
    </row>
    <row r="184" spans="2:16" ht="31.5" x14ac:dyDescent="0.25">
      <c r="B184" s="2">
        <v>107</v>
      </c>
      <c r="C184" s="2" t="str">
        <f>"NOS-137-A/15"</f>
        <v>NOS-137-A/15</v>
      </c>
      <c r="D184" s="2" t="s">
        <v>16</v>
      </c>
      <c r="E184" s="2" t="s">
        <v>17</v>
      </c>
      <c r="F184" s="2" t="s">
        <v>404</v>
      </c>
      <c r="G184" s="2" t="str">
        <f>"2015-2559"</f>
        <v>2015-2559</v>
      </c>
      <c r="H184" s="2" t="s">
        <v>1543</v>
      </c>
      <c r="I184" s="2" t="s">
        <v>19</v>
      </c>
      <c r="J184" s="3" t="str">
        <f>"450.000,00"</f>
        <v>450.000,00</v>
      </c>
      <c r="K184" s="2" t="s">
        <v>405</v>
      </c>
      <c r="L184" s="2" t="s">
        <v>406</v>
      </c>
      <c r="M184" s="2" t="s">
        <v>50</v>
      </c>
      <c r="N184" s="2" t="s">
        <v>23</v>
      </c>
      <c r="O184" s="3" t="str">
        <f t="shared" si="0"/>
        <v>0,00</v>
      </c>
      <c r="P184" s="4"/>
    </row>
    <row r="185" spans="2:16" ht="47.25" x14ac:dyDescent="0.25">
      <c r="B185" s="2">
        <v>108</v>
      </c>
      <c r="C185" s="2" t="str">
        <f>"NOS-139/15"</f>
        <v>NOS-139/15</v>
      </c>
      <c r="D185" s="2" t="s">
        <v>16</v>
      </c>
      <c r="E185" s="2" t="s">
        <v>17</v>
      </c>
      <c r="F185" s="2" t="s">
        <v>407</v>
      </c>
      <c r="G185" s="2" t="str">
        <f>"2015-2498"</f>
        <v>2015-2498</v>
      </c>
      <c r="H185" s="16" t="s">
        <v>1546</v>
      </c>
      <c r="I185" s="2" t="s">
        <v>19</v>
      </c>
      <c r="J185" s="3" t="str">
        <f>"600.000,00"</f>
        <v>600.000,00</v>
      </c>
      <c r="K185" s="2" t="s">
        <v>408</v>
      </c>
      <c r="L185" s="2" t="s">
        <v>409</v>
      </c>
      <c r="M185" s="2" t="s">
        <v>351</v>
      </c>
      <c r="N185" s="2" t="s">
        <v>23</v>
      </c>
      <c r="O185" s="3" t="str">
        <f t="shared" si="0"/>
        <v>0,00</v>
      </c>
      <c r="P185" s="4"/>
    </row>
    <row r="186" spans="2:16" ht="47.25" x14ac:dyDescent="0.25">
      <c r="B186" s="2">
        <v>109</v>
      </c>
      <c r="C186" s="2" t="str">
        <f>"NOS-135/15"</f>
        <v>NOS-135/15</v>
      </c>
      <c r="D186" s="2" t="s">
        <v>16</v>
      </c>
      <c r="E186" s="2" t="s">
        <v>17</v>
      </c>
      <c r="F186" s="2" t="s">
        <v>410</v>
      </c>
      <c r="G186" s="2" t="str">
        <f>"2015-2499"</f>
        <v>2015-2499</v>
      </c>
      <c r="H186" s="2" t="s">
        <v>1544</v>
      </c>
      <c r="I186" s="2" t="s">
        <v>19</v>
      </c>
      <c r="J186" s="3" t="str">
        <f>"600.000,00"</f>
        <v>600.000,00</v>
      </c>
      <c r="K186" s="2" t="s">
        <v>390</v>
      </c>
      <c r="L186" s="2" t="s">
        <v>391</v>
      </c>
      <c r="M186" s="2" t="s">
        <v>153</v>
      </c>
      <c r="N186" s="2" t="s">
        <v>23</v>
      </c>
      <c r="O186" s="3" t="str">
        <f t="shared" si="0"/>
        <v>0,00</v>
      </c>
      <c r="P186" s="4"/>
    </row>
    <row r="187" spans="2:16" ht="47.25" x14ac:dyDescent="0.25">
      <c r="B187" s="2">
        <v>110</v>
      </c>
      <c r="C187" s="2" t="str">
        <f>"NOS-72/15"</f>
        <v>NOS-72/15</v>
      </c>
      <c r="D187" s="2" t="s">
        <v>16</v>
      </c>
      <c r="E187" s="2" t="s">
        <v>17</v>
      </c>
      <c r="F187" s="2" t="s">
        <v>411</v>
      </c>
      <c r="G187" s="2" t="str">
        <f>"2015-2324"</f>
        <v>2015-2324</v>
      </c>
      <c r="H187" s="2" t="str">
        <f>"2015/S 003-0033351"</f>
        <v>2015/S 003-0033351</v>
      </c>
      <c r="I187" s="2" t="s">
        <v>19</v>
      </c>
      <c r="J187" s="3" t="str">
        <f>"650.000,00"</f>
        <v>650.000,00</v>
      </c>
      <c r="K187" s="2" t="s">
        <v>412</v>
      </c>
      <c r="L187" s="2" t="s">
        <v>413</v>
      </c>
      <c r="M187" s="2" t="s">
        <v>414</v>
      </c>
      <c r="N187" s="2" t="s">
        <v>23</v>
      </c>
      <c r="O187" s="3" t="str">
        <f t="shared" si="0"/>
        <v>0,00</v>
      </c>
      <c r="P187" s="4"/>
    </row>
    <row r="188" spans="2:16" ht="47.25" x14ac:dyDescent="0.25">
      <c r="B188" s="2">
        <v>111</v>
      </c>
      <c r="C188" s="2" t="str">
        <f>"NOS-79/15"</f>
        <v>NOS-79/15</v>
      </c>
      <c r="D188" s="2" t="s">
        <v>16</v>
      </c>
      <c r="E188" s="2" t="s">
        <v>17</v>
      </c>
      <c r="F188" s="2" t="s">
        <v>415</v>
      </c>
      <c r="G188" s="2" t="str">
        <f>"2015-2356"</f>
        <v>2015-2356</v>
      </c>
      <c r="H188" s="2" t="str">
        <f>"2015/S 003-0033370"</f>
        <v>2015/S 003-0033370</v>
      </c>
      <c r="I188" s="2" t="s">
        <v>19</v>
      </c>
      <c r="J188" s="3" t="str">
        <f>"1.000.000,00"</f>
        <v>1.000.000,00</v>
      </c>
      <c r="K188" s="2" t="s">
        <v>167</v>
      </c>
      <c r="L188" s="2" t="s">
        <v>168</v>
      </c>
      <c r="M188" s="2" t="s">
        <v>416</v>
      </c>
      <c r="N188" s="2" t="s">
        <v>23</v>
      </c>
      <c r="O188" s="3" t="str">
        <f>"204.241,80"</f>
        <v>204.241,80</v>
      </c>
      <c r="P188" s="4"/>
    </row>
    <row r="189" spans="2:16" ht="47.25" x14ac:dyDescent="0.25">
      <c r="B189" s="36">
        <v>112</v>
      </c>
      <c r="C189" s="36" t="str">
        <f>"NOS-101-A/15"</f>
        <v>NOS-101-A/15</v>
      </c>
      <c r="D189" s="36" t="s">
        <v>16</v>
      </c>
      <c r="E189" s="36" t="s">
        <v>17</v>
      </c>
      <c r="F189" s="36" t="s">
        <v>417</v>
      </c>
      <c r="G189" s="36" t="str">
        <f>"2015-525"</f>
        <v>2015-525</v>
      </c>
      <c r="H189" s="36" t="str">
        <f>"2015/S 003-0038285"</f>
        <v>2015/S 003-0038285</v>
      </c>
      <c r="I189" s="36" t="s">
        <v>19</v>
      </c>
      <c r="J189" s="38" t="str">
        <f>"1.060.000,00"</f>
        <v>1.060.000,00</v>
      </c>
      <c r="K189" s="36" t="s">
        <v>172</v>
      </c>
      <c r="L189" s="36" t="s">
        <v>173</v>
      </c>
      <c r="M189" s="6" t="s">
        <v>418</v>
      </c>
      <c r="N189" s="36" t="s">
        <v>23</v>
      </c>
      <c r="O189" s="38" t="str">
        <f>"133.877,10"</f>
        <v>133.877,10</v>
      </c>
      <c r="P189" s="50"/>
    </row>
    <row r="190" spans="2:16" ht="31.5" x14ac:dyDescent="0.25">
      <c r="B190" s="37"/>
      <c r="C190" s="37"/>
      <c r="D190" s="37"/>
      <c r="E190" s="37"/>
      <c r="F190" s="37"/>
      <c r="G190" s="37"/>
      <c r="H190" s="37"/>
      <c r="I190" s="37"/>
      <c r="J190" s="39"/>
      <c r="K190" s="37"/>
      <c r="L190" s="37"/>
      <c r="M190" s="8" t="s">
        <v>419</v>
      </c>
      <c r="N190" s="37"/>
      <c r="O190" s="39"/>
      <c r="P190" s="52"/>
    </row>
    <row r="191" spans="2:16" ht="47.25" x14ac:dyDescent="0.25">
      <c r="B191" s="36">
        <v>113</v>
      </c>
      <c r="C191" s="36" t="str">
        <f>"NOS-117/15"</f>
        <v>NOS-117/15</v>
      </c>
      <c r="D191" s="36" t="s">
        <v>16</v>
      </c>
      <c r="E191" s="36" t="s">
        <v>17</v>
      </c>
      <c r="F191" s="36" t="s">
        <v>420</v>
      </c>
      <c r="G191" s="36" t="str">
        <f>"2015-2326"</f>
        <v>2015-2326</v>
      </c>
      <c r="H191" s="36" t="str">
        <f>"2015/S 003-0038475"</f>
        <v>2015/S 003-0038475</v>
      </c>
      <c r="I191" s="36" t="s">
        <v>19</v>
      </c>
      <c r="J191" s="38" t="str">
        <f>"90.000.000,00"</f>
        <v>90.000.000,00</v>
      </c>
      <c r="K191" s="36" t="s">
        <v>421</v>
      </c>
      <c r="L191" s="36" t="s">
        <v>422</v>
      </c>
      <c r="M191" s="6" t="s">
        <v>209</v>
      </c>
      <c r="N191" s="36" t="s">
        <v>23</v>
      </c>
      <c r="O191" s="38" t="str">
        <f>"0,00"</f>
        <v>0,00</v>
      </c>
      <c r="P191" s="50"/>
    </row>
    <row r="192" spans="2:16" ht="47.25" x14ac:dyDescent="0.25">
      <c r="B192" s="48"/>
      <c r="C192" s="48"/>
      <c r="D192" s="48"/>
      <c r="E192" s="48"/>
      <c r="F192" s="48"/>
      <c r="G192" s="48"/>
      <c r="H192" s="48"/>
      <c r="I192" s="48"/>
      <c r="J192" s="49"/>
      <c r="K192" s="48"/>
      <c r="L192" s="48"/>
      <c r="M192" s="7" t="s">
        <v>98</v>
      </c>
      <c r="N192" s="48"/>
      <c r="O192" s="49"/>
      <c r="P192" s="51"/>
    </row>
    <row r="193" spans="2:16" ht="31.5" x14ac:dyDescent="0.25">
      <c r="B193" s="48"/>
      <c r="C193" s="48"/>
      <c r="D193" s="48"/>
      <c r="E193" s="48"/>
      <c r="F193" s="48"/>
      <c r="G193" s="48"/>
      <c r="H193" s="48"/>
      <c r="I193" s="48"/>
      <c r="J193" s="49"/>
      <c r="K193" s="48"/>
      <c r="L193" s="48"/>
      <c r="M193" s="7" t="s">
        <v>423</v>
      </c>
      <c r="N193" s="48"/>
      <c r="O193" s="49"/>
      <c r="P193" s="51"/>
    </row>
    <row r="194" spans="2:16" ht="31.5" x14ac:dyDescent="0.25">
      <c r="B194" s="37"/>
      <c r="C194" s="37"/>
      <c r="D194" s="37"/>
      <c r="E194" s="37"/>
      <c r="F194" s="37"/>
      <c r="G194" s="37"/>
      <c r="H194" s="37"/>
      <c r="I194" s="37"/>
      <c r="J194" s="39"/>
      <c r="K194" s="37"/>
      <c r="L194" s="37"/>
      <c r="M194" s="8" t="s">
        <v>424</v>
      </c>
      <c r="N194" s="37"/>
      <c r="O194" s="39"/>
      <c r="P194" s="52"/>
    </row>
    <row r="195" spans="2:16" ht="110.25" x14ac:dyDescent="0.25">
      <c r="B195" s="2">
        <v>114</v>
      </c>
      <c r="C195" s="2" t="str">
        <f>"NOS-77-A/15"</f>
        <v>NOS-77-A/15</v>
      </c>
      <c r="D195" s="2" t="s">
        <v>16</v>
      </c>
      <c r="E195" s="2" t="s">
        <v>17</v>
      </c>
      <c r="F195" s="2" t="s">
        <v>425</v>
      </c>
      <c r="G195" s="2" t="str">
        <f>"2015-268"</f>
        <v>2015-268</v>
      </c>
      <c r="H195" s="2" t="str">
        <f>"2015/S 003-0029079"</f>
        <v>2015/S 003-0029079</v>
      </c>
      <c r="I195" s="2" t="s">
        <v>19</v>
      </c>
      <c r="J195" s="3" t="str">
        <f>"300.000,00"</f>
        <v>300.000,00</v>
      </c>
      <c r="K195" s="2" t="s">
        <v>426</v>
      </c>
      <c r="L195" s="2" t="s">
        <v>427</v>
      </c>
      <c r="M195" s="2" t="s">
        <v>428</v>
      </c>
      <c r="N195" s="2" t="s">
        <v>23</v>
      </c>
      <c r="O195" s="3" t="str">
        <f>"0,00"</f>
        <v>0,00</v>
      </c>
      <c r="P195" s="4"/>
    </row>
    <row r="196" spans="2:16" ht="94.5" x14ac:dyDescent="0.25">
      <c r="B196" s="2">
        <v>115</v>
      </c>
      <c r="C196" s="2" t="str">
        <f>"NOS-80/15"</f>
        <v>NOS-80/15</v>
      </c>
      <c r="D196" s="2" t="s">
        <v>429</v>
      </c>
      <c r="E196" s="2" t="s">
        <v>17</v>
      </c>
      <c r="F196" s="2" t="s">
        <v>430</v>
      </c>
      <c r="G196" s="2" t="str">
        <f>"2015-2343"</f>
        <v>2015-2343</v>
      </c>
      <c r="H196" s="2" t="str">
        <f>"2015/S 003-0034761"</f>
        <v>2015/S 003-0034761</v>
      </c>
      <c r="I196" s="2" t="s">
        <v>19</v>
      </c>
      <c r="J196" s="3" t="str">
        <f>"1.420.000,00"</f>
        <v>1.420.000,00</v>
      </c>
      <c r="K196" s="2" t="s">
        <v>216</v>
      </c>
      <c r="L196" s="2" t="s">
        <v>217</v>
      </c>
      <c r="M196" s="2" t="s">
        <v>431</v>
      </c>
      <c r="N196" s="2" t="s">
        <v>23</v>
      </c>
      <c r="O196" s="3" t="str">
        <f>"0,00"</f>
        <v>0,00</v>
      </c>
      <c r="P196" s="4"/>
    </row>
    <row r="197" spans="2:16" ht="31.5" x14ac:dyDescent="0.25">
      <c r="B197" s="36">
        <v>116</v>
      </c>
      <c r="C197" s="36" t="str">
        <f>"NOS-125/15"</f>
        <v>NOS-125/15</v>
      </c>
      <c r="D197" s="36" t="s">
        <v>85</v>
      </c>
      <c r="E197" s="36" t="s">
        <v>17</v>
      </c>
      <c r="F197" s="36" t="s">
        <v>432</v>
      </c>
      <c r="G197" s="36" t="str">
        <f>"2015-1984"</f>
        <v>2015-1984</v>
      </c>
      <c r="H197" s="36" t="str">
        <f>"2016/S 003-0000204"</f>
        <v>2016/S 003-0000204</v>
      </c>
      <c r="I197" s="36" t="s">
        <v>19</v>
      </c>
      <c r="J197" s="38" t="str">
        <f>"5.545.000,00"</f>
        <v>5.545.000,00</v>
      </c>
      <c r="K197" s="36" t="s">
        <v>433</v>
      </c>
      <c r="L197" s="36" t="s">
        <v>434</v>
      </c>
      <c r="M197" s="6" t="s">
        <v>435</v>
      </c>
      <c r="N197" s="36" t="s">
        <v>23</v>
      </c>
      <c r="O197" s="38" t="str">
        <f>"0,00"</f>
        <v>0,00</v>
      </c>
      <c r="P197" s="50"/>
    </row>
    <row r="198" spans="2:16" ht="31.5" x14ac:dyDescent="0.25">
      <c r="B198" s="48"/>
      <c r="C198" s="48"/>
      <c r="D198" s="48"/>
      <c r="E198" s="48"/>
      <c r="F198" s="48"/>
      <c r="G198" s="48"/>
      <c r="H198" s="48"/>
      <c r="I198" s="48"/>
      <c r="J198" s="49"/>
      <c r="K198" s="48"/>
      <c r="L198" s="48"/>
      <c r="M198" s="7" t="s">
        <v>436</v>
      </c>
      <c r="N198" s="48"/>
      <c r="O198" s="49"/>
      <c r="P198" s="51"/>
    </row>
    <row r="199" spans="2:16" ht="47.25" x14ac:dyDescent="0.25">
      <c r="B199" s="48"/>
      <c r="C199" s="48"/>
      <c r="D199" s="48"/>
      <c r="E199" s="48"/>
      <c r="F199" s="48"/>
      <c r="G199" s="48"/>
      <c r="H199" s="48"/>
      <c r="I199" s="48"/>
      <c r="J199" s="49"/>
      <c r="K199" s="48"/>
      <c r="L199" s="48"/>
      <c r="M199" s="7" t="s">
        <v>437</v>
      </c>
      <c r="N199" s="48"/>
      <c r="O199" s="49"/>
      <c r="P199" s="51"/>
    </row>
    <row r="200" spans="2:16" ht="31.5" x14ac:dyDescent="0.25">
      <c r="B200" s="37"/>
      <c r="C200" s="37"/>
      <c r="D200" s="37"/>
      <c r="E200" s="37"/>
      <c r="F200" s="37"/>
      <c r="G200" s="37"/>
      <c r="H200" s="37"/>
      <c r="I200" s="37"/>
      <c r="J200" s="39"/>
      <c r="K200" s="37"/>
      <c r="L200" s="37"/>
      <c r="M200" s="8" t="s">
        <v>438</v>
      </c>
      <c r="N200" s="37"/>
      <c r="O200" s="39"/>
      <c r="P200" s="52"/>
    </row>
    <row r="201" spans="2:16" ht="47.25" x14ac:dyDescent="0.25">
      <c r="B201" s="2">
        <v>117</v>
      </c>
      <c r="C201" s="2" t="str">
        <f>"NOS-76/15"</f>
        <v>NOS-76/15</v>
      </c>
      <c r="D201" s="2" t="s">
        <v>16</v>
      </c>
      <c r="E201" s="2" t="s">
        <v>17</v>
      </c>
      <c r="F201" s="2" t="s">
        <v>439</v>
      </c>
      <c r="G201" s="2" t="str">
        <f>"2015-128"</f>
        <v>2015-128</v>
      </c>
      <c r="H201" s="2" t="str">
        <f>"2015/S 003-0029423"</f>
        <v>2015/S 003-0029423</v>
      </c>
      <c r="I201" s="2" t="s">
        <v>19</v>
      </c>
      <c r="J201" s="3" t="str">
        <f>"1.400.000,00"</f>
        <v>1.400.000,00</v>
      </c>
      <c r="K201" s="2" t="s">
        <v>440</v>
      </c>
      <c r="L201" s="2" t="s">
        <v>441</v>
      </c>
      <c r="M201" s="2" t="s">
        <v>153</v>
      </c>
      <c r="N201" s="2" t="s">
        <v>23</v>
      </c>
      <c r="O201" s="3" t="str">
        <f>"1.027.222,56"</f>
        <v>1.027.222,56</v>
      </c>
      <c r="P201" s="4"/>
    </row>
    <row r="202" spans="2:16" ht="110.25" x14ac:dyDescent="0.25">
      <c r="B202" s="2">
        <v>118</v>
      </c>
      <c r="C202" s="2" t="str">
        <f>"NOS-111-A/15"</f>
        <v>NOS-111-A/15</v>
      </c>
      <c r="D202" s="2" t="s">
        <v>16</v>
      </c>
      <c r="E202" s="2" t="s">
        <v>17</v>
      </c>
      <c r="F202" s="2" t="s">
        <v>442</v>
      </c>
      <c r="G202" s="2" t="str">
        <f>"2015-1431"</f>
        <v>2015-1431</v>
      </c>
      <c r="H202" s="2" t="str">
        <f>"2015/S 003-0038594"</f>
        <v>2015/S 003-0038594</v>
      </c>
      <c r="I202" s="2" t="s">
        <v>19</v>
      </c>
      <c r="J202" s="3" t="str">
        <f>"300.000,00"</f>
        <v>300.000,00</v>
      </c>
      <c r="K202" s="2" t="s">
        <v>443</v>
      </c>
      <c r="L202" s="2" t="s">
        <v>444</v>
      </c>
      <c r="M202" s="2" t="s">
        <v>445</v>
      </c>
      <c r="N202" s="2" t="s">
        <v>23</v>
      </c>
      <c r="O202" s="3" t="str">
        <f>"0,00"</f>
        <v>0,00</v>
      </c>
      <c r="P202" s="4"/>
    </row>
    <row r="203" spans="2:16" ht="31.5" x14ac:dyDescent="0.25">
      <c r="B203" s="36">
        <v>119</v>
      </c>
      <c r="C203" s="36" t="str">
        <f>"NOS-115-A/15"</f>
        <v>NOS-115-A/15</v>
      </c>
      <c r="D203" s="36" t="s">
        <v>446</v>
      </c>
      <c r="E203" s="36" t="s">
        <v>17</v>
      </c>
      <c r="F203" s="36" t="s">
        <v>447</v>
      </c>
      <c r="G203" s="36" t="str">
        <f>"2015-620"</f>
        <v>2015-620</v>
      </c>
      <c r="H203" s="36" t="str">
        <f>"2015/S 003-0034269"</f>
        <v>2015/S 003-0034269</v>
      </c>
      <c r="I203" s="36" t="s">
        <v>19</v>
      </c>
      <c r="J203" s="38" t="str">
        <f>"246.000,00"</f>
        <v>246.000,00</v>
      </c>
      <c r="K203" s="36" t="s">
        <v>448</v>
      </c>
      <c r="L203" s="36" t="s">
        <v>449</v>
      </c>
      <c r="M203" s="6" t="s">
        <v>450</v>
      </c>
      <c r="N203" s="36" t="s">
        <v>23</v>
      </c>
      <c r="O203" s="38" t="str">
        <f>"1.200,00"</f>
        <v>1.200,00</v>
      </c>
      <c r="P203" s="50"/>
    </row>
    <row r="204" spans="2:16" ht="63" x14ac:dyDescent="0.25">
      <c r="B204" s="48"/>
      <c r="C204" s="48"/>
      <c r="D204" s="48"/>
      <c r="E204" s="48"/>
      <c r="F204" s="48"/>
      <c r="G204" s="48"/>
      <c r="H204" s="48"/>
      <c r="I204" s="48"/>
      <c r="J204" s="49"/>
      <c r="K204" s="48"/>
      <c r="L204" s="48"/>
      <c r="M204" s="7" t="s">
        <v>451</v>
      </c>
      <c r="N204" s="48"/>
      <c r="O204" s="49"/>
      <c r="P204" s="51"/>
    </row>
    <row r="205" spans="2:16" ht="31.5" x14ac:dyDescent="0.25">
      <c r="B205" s="37"/>
      <c r="C205" s="37"/>
      <c r="D205" s="37"/>
      <c r="E205" s="37"/>
      <c r="F205" s="37"/>
      <c r="G205" s="37"/>
      <c r="H205" s="37"/>
      <c r="I205" s="37"/>
      <c r="J205" s="39"/>
      <c r="K205" s="37"/>
      <c r="L205" s="37"/>
      <c r="M205" s="8" t="s">
        <v>452</v>
      </c>
      <c r="N205" s="37"/>
      <c r="O205" s="39"/>
      <c r="P205" s="52"/>
    </row>
    <row r="206" spans="2:16" ht="78.75" x14ac:dyDescent="0.25">
      <c r="B206" s="2">
        <v>120</v>
      </c>
      <c r="C206" s="2" t="str">
        <f>"NOS-98/15"</f>
        <v>NOS-98/15</v>
      </c>
      <c r="D206" s="2" t="s">
        <v>16</v>
      </c>
      <c r="E206" s="2" t="s">
        <v>17</v>
      </c>
      <c r="F206" s="2" t="s">
        <v>453</v>
      </c>
      <c r="G206" s="2" t="str">
        <f>"2015-2372"</f>
        <v>2015-2372</v>
      </c>
      <c r="H206" s="2" t="str">
        <f>"2015/S 003-0031766"</f>
        <v>2015/S 003-0031766</v>
      </c>
      <c r="I206" s="2" t="s">
        <v>19</v>
      </c>
      <c r="J206" s="3" t="str">
        <f>"5.000.000,00"</f>
        <v>5.000.000,00</v>
      </c>
      <c r="K206" s="2" t="s">
        <v>426</v>
      </c>
      <c r="L206" s="2" t="s">
        <v>427</v>
      </c>
      <c r="M206" s="2" t="s">
        <v>454</v>
      </c>
      <c r="N206" s="2" t="s">
        <v>23</v>
      </c>
      <c r="O206" s="3" t="str">
        <f>"349.693,65"</f>
        <v>349.693,65</v>
      </c>
      <c r="P206" s="4"/>
    </row>
    <row r="207" spans="2:16" ht="126" x14ac:dyDescent="0.25">
      <c r="B207" s="2">
        <v>121</v>
      </c>
      <c r="C207" s="2" t="str">
        <f>"NOS-119/15"</f>
        <v>NOS-119/15</v>
      </c>
      <c r="D207" s="2" t="s">
        <v>221</v>
      </c>
      <c r="E207" s="2" t="s">
        <v>17</v>
      </c>
      <c r="F207" s="2" t="s">
        <v>455</v>
      </c>
      <c r="G207" s="2" t="str">
        <f>"2015-2278"</f>
        <v>2015-2278</v>
      </c>
      <c r="H207" s="2" t="str">
        <f>"2015/S 003-0035774"</f>
        <v>2015/S 003-0035774</v>
      </c>
      <c r="I207" s="2" t="s">
        <v>19</v>
      </c>
      <c r="J207" s="3" t="str">
        <f>"3.400.000,00"</f>
        <v>3.400.000,00</v>
      </c>
      <c r="K207" s="2" t="s">
        <v>456</v>
      </c>
      <c r="L207" s="2" t="s">
        <v>457</v>
      </c>
      <c r="M207" s="2" t="s">
        <v>458</v>
      </c>
      <c r="N207" s="2" t="s">
        <v>23</v>
      </c>
      <c r="O207" s="3" t="str">
        <f>"263.989,74"</f>
        <v>263.989,74</v>
      </c>
      <c r="P207" s="4"/>
    </row>
    <row r="208" spans="2:16" ht="63" x14ac:dyDescent="0.25">
      <c r="B208" s="2">
        <v>122</v>
      </c>
      <c r="C208" s="2" t="str">
        <f>"NOS-116/15"</f>
        <v>NOS-116/15</v>
      </c>
      <c r="D208" s="2" t="s">
        <v>362</v>
      </c>
      <c r="E208" s="2" t="s">
        <v>17</v>
      </c>
      <c r="F208" s="2" t="s">
        <v>459</v>
      </c>
      <c r="G208" s="2" t="str">
        <f>"2015-2355"</f>
        <v>2015-2355</v>
      </c>
      <c r="H208" s="2" t="str">
        <f>"2015/S 003-0032838"</f>
        <v>2015/S 003-0032838</v>
      </c>
      <c r="I208" s="2" t="s">
        <v>19</v>
      </c>
      <c r="J208" s="3" t="str">
        <f>"8.000.000,00"</f>
        <v>8.000.000,00</v>
      </c>
      <c r="K208" s="2" t="s">
        <v>460</v>
      </c>
      <c r="L208" s="2" t="s">
        <v>461</v>
      </c>
      <c r="M208" s="2" t="s">
        <v>462</v>
      </c>
      <c r="N208" s="2" t="s">
        <v>23</v>
      </c>
      <c r="O208" s="3" t="str">
        <f>"0,00"</f>
        <v>0,00</v>
      </c>
      <c r="P208" s="4"/>
    </row>
    <row r="209" spans="2:16" ht="63" x14ac:dyDescent="0.25">
      <c r="B209" s="36">
        <v>123</v>
      </c>
      <c r="C209" s="36" t="str">
        <f>"NOS-110/15"</f>
        <v>NOS-110/15</v>
      </c>
      <c r="D209" s="36" t="s">
        <v>214</v>
      </c>
      <c r="E209" s="36" t="s">
        <v>17</v>
      </c>
      <c r="F209" s="36" t="s">
        <v>463</v>
      </c>
      <c r="G209" s="36" t="str">
        <f>"2015-2327"</f>
        <v>2015-2327</v>
      </c>
      <c r="H209" s="36" t="str">
        <f>"2015/S 003-0038660"</f>
        <v>2015/S 003-0038660</v>
      </c>
      <c r="I209" s="36" t="s">
        <v>19</v>
      </c>
      <c r="J209" s="38" t="str">
        <f>"782.240,00"</f>
        <v>782.240,00</v>
      </c>
      <c r="K209" s="36" t="s">
        <v>464</v>
      </c>
      <c r="L209" s="36" t="s">
        <v>465</v>
      </c>
      <c r="M209" s="6" t="s">
        <v>270</v>
      </c>
      <c r="N209" s="36" t="s">
        <v>23</v>
      </c>
      <c r="O209" s="38" t="str">
        <f>"60.459,88"</f>
        <v>60.459,88</v>
      </c>
      <c r="P209" s="50"/>
    </row>
    <row r="210" spans="2:16" ht="47.25" x14ac:dyDescent="0.25">
      <c r="B210" s="48"/>
      <c r="C210" s="48"/>
      <c r="D210" s="48"/>
      <c r="E210" s="48"/>
      <c r="F210" s="48"/>
      <c r="G210" s="48"/>
      <c r="H210" s="48"/>
      <c r="I210" s="48"/>
      <c r="J210" s="49"/>
      <c r="K210" s="48"/>
      <c r="L210" s="48"/>
      <c r="M210" s="7" t="s">
        <v>44</v>
      </c>
      <c r="N210" s="48"/>
      <c r="O210" s="49"/>
      <c r="P210" s="51"/>
    </row>
    <row r="211" spans="2:16" ht="31.5" x14ac:dyDescent="0.25">
      <c r="B211" s="37"/>
      <c r="C211" s="37"/>
      <c r="D211" s="37"/>
      <c r="E211" s="37"/>
      <c r="F211" s="37"/>
      <c r="G211" s="37"/>
      <c r="H211" s="37"/>
      <c r="I211" s="37"/>
      <c r="J211" s="39"/>
      <c r="K211" s="37"/>
      <c r="L211" s="37"/>
      <c r="M211" s="8" t="s">
        <v>466</v>
      </c>
      <c r="N211" s="37"/>
      <c r="O211" s="39"/>
      <c r="P211" s="52"/>
    </row>
    <row r="212" spans="2:16" ht="31.5" x14ac:dyDescent="0.25">
      <c r="B212" s="2">
        <v>124</v>
      </c>
      <c r="C212" s="2" t="str">
        <f>"NOS-126/15"</f>
        <v>NOS-126/15</v>
      </c>
      <c r="D212" s="2" t="s">
        <v>16</v>
      </c>
      <c r="E212" s="2" t="s">
        <v>17</v>
      </c>
      <c r="F212" s="2" t="s">
        <v>467</v>
      </c>
      <c r="G212" s="2" t="str">
        <f>"2015-2354"</f>
        <v>2015-2354</v>
      </c>
      <c r="H212" s="2" t="str">
        <f>"2015/S 003-0038480"</f>
        <v>2015/S 003-0038480</v>
      </c>
      <c r="I212" s="2" t="s">
        <v>19</v>
      </c>
      <c r="J212" s="3" t="str">
        <f>"6.000.000,00"</f>
        <v>6.000.000,00</v>
      </c>
      <c r="K212" s="2" t="s">
        <v>468</v>
      </c>
      <c r="L212" s="2" t="s">
        <v>469</v>
      </c>
      <c r="M212" s="2" t="s">
        <v>470</v>
      </c>
      <c r="N212" s="2" t="s">
        <v>23</v>
      </c>
      <c r="O212" s="3" t="str">
        <f>"0,00"</f>
        <v>0,00</v>
      </c>
      <c r="P212" s="4"/>
    </row>
    <row r="213" spans="2:16" ht="31.5" x14ac:dyDescent="0.25">
      <c r="B213" s="36">
        <v>125</v>
      </c>
      <c r="C213" s="36" t="str">
        <f>"NOS-122-A/15"</f>
        <v>NOS-122-A/15</v>
      </c>
      <c r="D213" s="36" t="s">
        <v>16</v>
      </c>
      <c r="E213" s="36" t="s">
        <v>17</v>
      </c>
      <c r="F213" s="36" t="s">
        <v>471</v>
      </c>
      <c r="G213" s="36" t="str">
        <f>"2015-2370"</f>
        <v>2015-2370</v>
      </c>
      <c r="H213" s="36" t="str">
        <f>"2016/S 003-0000186"</f>
        <v>2016/S 003-0000186</v>
      </c>
      <c r="I213" s="36" t="s">
        <v>19</v>
      </c>
      <c r="J213" s="38" t="str">
        <f>"500.000,00"</f>
        <v>500.000,00</v>
      </c>
      <c r="K213" s="36" t="s">
        <v>472</v>
      </c>
      <c r="L213" s="36" t="s">
        <v>473</v>
      </c>
      <c r="M213" s="6" t="s">
        <v>111</v>
      </c>
      <c r="N213" s="36" t="s">
        <v>23</v>
      </c>
      <c r="O213" s="38" t="str">
        <f>"0,00"</f>
        <v>0,00</v>
      </c>
      <c r="P213" s="50"/>
    </row>
    <row r="214" spans="2:16" ht="31.5" x14ac:dyDescent="0.25">
      <c r="B214" s="37"/>
      <c r="C214" s="37"/>
      <c r="D214" s="37"/>
      <c r="E214" s="37"/>
      <c r="F214" s="37"/>
      <c r="G214" s="37"/>
      <c r="H214" s="37"/>
      <c r="I214" s="37"/>
      <c r="J214" s="39"/>
      <c r="K214" s="37"/>
      <c r="L214" s="37"/>
      <c r="M214" s="8" t="s">
        <v>65</v>
      </c>
      <c r="N214" s="37"/>
      <c r="O214" s="39"/>
      <c r="P214" s="52"/>
    </row>
    <row r="215" spans="2:16" ht="31.5" x14ac:dyDescent="0.25">
      <c r="B215" s="36">
        <v>126</v>
      </c>
      <c r="C215" s="36" t="str">
        <f>"NOS-113/15"</f>
        <v>NOS-113/15</v>
      </c>
      <c r="D215" s="36" t="s">
        <v>16</v>
      </c>
      <c r="E215" s="36" t="s">
        <v>17</v>
      </c>
      <c r="F215" s="36" t="s">
        <v>474</v>
      </c>
      <c r="G215" s="36" t="str">
        <f>"2015-2384"</f>
        <v>2015-2384</v>
      </c>
      <c r="H215" s="36" t="str">
        <f>"2015/S 003-0032504"</f>
        <v>2015/S 003-0032504</v>
      </c>
      <c r="I215" s="36" t="s">
        <v>19</v>
      </c>
      <c r="J215" s="38" t="str">
        <f>"1.100.000,00"</f>
        <v>1.100.000,00</v>
      </c>
      <c r="K215" s="36" t="s">
        <v>448</v>
      </c>
      <c r="L215" s="36" t="s">
        <v>449</v>
      </c>
      <c r="M215" s="6" t="s">
        <v>475</v>
      </c>
      <c r="N215" s="36" t="s">
        <v>23</v>
      </c>
      <c r="O215" s="38" t="str">
        <f>"301.115,00"</f>
        <v>301.115,00</v>
      </c>
      <c r="P215" s="50"/>
    </row>
    <row r="216" spans="2:16" ht="31.5" x14ac:dyDescent="0.25">
      <c r="B216" s="48"/>
      <c r="C216" s="48"/>
      <c r="D216" s="48"/>
      <c r="E216" s="48"/>
      <c r="F216" s="48"/>
      <c r="G216" s="48"/>
      <c r="H216" s="48"/>
      <c r="I216" s="48"/>
      <c r="J216" s="49"/>
      <c r="K216" s="48"/>
      <c r="L216" s="48"/>
      <c r="M216" s="7" t="s">
        <v>476</v>
      </c>
      <c r="N216" s="48"/>
      <c r="O216" s="49"/>
      <c r="P216" s="51"/>
    </row>
    <row r="217" spans="2:16" ht="31.5" x14ac:dyDescent="0.25">
      <c r="B217" s="37"/>
      <c r="C217" s="37"/>
      <c r="D217" s="37"/>
      <c r="E217" s="37"/>
      <c r="F217" s="37"/>
      <c r="G217" s="37"/>
      <c r="H217" s="37"/>
      <c r="I217" s="37"/>
      <c r="J217" s="39"/>
      <c r="K217" s="37"/>
      <c r="L217" s="37"/>
      <c r="M217" s="8" t="s">
        <v>423</v>
      </c>
      <c r="N217" s="37"/>
      <c r="O217" s="39"/>
      <c r="P217" s="52"/>
    </row>
    <row r="218" spans="2:16" ht="47.25" x14ac:dyDescent="0.25">
      <c r="B218" s="36">
        <v>127</v>
      </c>
      <c r="C218" s="36" t="str">
        <f>"NOS-124/15"</f>
        <v>NOS-124/15</v>
      </c>
      <c r="D218" s="36" t="s">
        <v>76</v>
      </c>
      <c r="E218" s="36" t="s">
        <v>17</v>
      </c>
      <c r="F218" s="36" t="s">
        <v>477</v>
      </c>
      <c r="G218" s="36" t="str">
        <f>"2015-2303"</f>
        <v>2015-2303</v>
      </c>
      <c r="H218" s="36" t="str">
        <f>"2015/S 003-0038658"</f>
        <v>2015/S 003-0038658</v>
      </c>
      <c r="I218" s="36" t="s">
        <v>19</v>
      </c>
      <c r="J218" s="38" t="str">
        <f>"2.600.000,00"</f>
        <v>2.600.000,00</v>
      </c>
      <c r="K218" s="36" t="s">
        <v>478</v>
      </c>
      <c r="L218" s="36" t="s">
        <v>479</v>
      </c>
      <c r="M218" s="6" t="s">
        <v>480</v>
      </c>
      <c r="N218" s="36" t="s">
        <v>23</v>
      </c>
      <c r="O218" s="38" t="str">
        <f>"11.734,03"</f>
        <v>11.734,03</v>
      </c>
      <c r="P218" s="50"/>
    </row>
    <row r="219" spans="2:16" ht="31.5" x14ac:dyDescent="0.25">
      <c r="B219" s="48"/>
      <c r="C219" s="48"/>
      <c r="D219" s="48"/>
      <c r="E219" s="48"/>
      <c r="F219" s="48"/>
      <c r="G219" s="48"/>
      <c r="H219" s="48"/>
      <c r="I219" s="48"/>
      <c r="J219" s="49"/>
      <c r="K219" s="48"/>
      <c r="L219" s="48"/>
      <c r="M219" s="7" t="s">
        <v>450</v>
      </c>
      <c r="N219" s="48"/>
      <c r="O219" s="49"/>
      <c r="P219" s="51"/>
    </row>
    <row r="220" spans="2:16" ht="31.5" x14ac:dyDescent="0.25">
      <c r="B220" s="37"/>
      <c r="C220" s="37"/>
      <c r="D220" s="37"/>
      <c r="E220" s="37"/>
      <c r="F220" s="37"/>
      <c r="G220" s="37"/>
      <c r="H220" s="37"/>
      <c r="I220" s="37"/>
      <c r="J220" s="39"/>
      <c r="K220" s="37"/>
      <c r="L220" s="37"/>
      <c r="M220" s="8" t="s">
        <v>481</v>
      </c>
      <c r="N220" s="37"/>
      <c r="O220" s="39"/>
      <c r="P220" s="52"/>
    </row>
    <row r="221" spans="2:16" ht="31.5" x14ac:dyDescent="0.25">
      <c r="B221" s="2">
        <v>128</v>
      </c>
      <c r="C221" s="2" t="str">
        <f>"NOS-120/15"</f>
        <v>NOS-120/15</v>
      </c>
      <c r="D221" s="2" t="s">
        <v>16</v>
      </c>
      <c r="E221" s="2" t="s">
        <v>17</v>
      </c>
      <c r="F221" s="2" t="s">
        <v>482</v>
      </c>
      <c r="G221" s="2" t="str">
        <f>"2015-2402"</f>
        <v>2015-2402</v>
      </c>
      <c r="H221" s="2" t="str">
        <f>"2015/S 003-0038661"</f>
        <v>2015/S 003-0038661</v>
      </c>
      <c r="I221" s="2" t="s">
        <v>19</v>
      </c>
      <c r="J221" s="3" t="str">
        <f>"1.000.000,00"</f>
        <v>1.000.000,00</v>
      </c>
      <c r="K221" s="2" t="s">
        <v>448</v>
      </c>
      <c r="L221" s="2" t="s">
        <v>449</v>
      </c>
      <c r="M221" s="2" t="s">
        <v>483</v>
      </c>
      <c r="N221" s="2" t="s">
        <v>23</v>
      </c>
      <c r="O221" s="3" t="str">
        <f>"74.400,00"</f>
        <v>74.400,00</v>
      </c>
      <c r="P221" s="4"/>
    </row>
    <row r="222" spans="2:16" ht="31.5" x14ac:dyDescent="0.25">
      <c r="B222" s="36">
        <v>129</v>
      </c>
      <c r="C222" s="36" t="str">
        <f>"NOS-109/15"</f>
        <v>NOS-109/15</v>
      </c>
      <c r="D222" s="36" t="s">
        <v>16</v>
      </c>
      <c r="E222" s="36" t="s">
        <v>17</v>
      </c>
      <c r="F222" s="36" t="s">
        <v>484</v>
      </c>
      <c r="G222" s="36" t="str">
        <f>"2015-2403"</f>
        <v>2015-2403</v>
      </c>
      <c r="H222" s="36" t="str">
        <f>"2015/S 003-0037389"</f>
        <v>2015/S 003-0037389</v>
      </c>
      <c r="I222" s="36" t="s">
        <v>19</v>
      </c>
      <c r="J222" s="38" t="str">
        <f>"1.500.000,00"</f>
        <v>1.500.000,00</v>
      </c>
      <c r="K222" s="36" t="s">
        <v>464</v>
      </c>
      <c r="L222" s="36" t="s">
        <v>465</v>
      </c>
      <c r="M222" s="6" t="s">
        <v>485</v>
      </c>
      <c r="N222" s="36" t="s">
        <v>23</v>
      </c>
      <c r="O222" s="38" t="str">
        <f>"0,00"</f>
        <v>0,00</v>
      </c>
      <c r="P222" s="50"/>
    </row>
    <row r="223" spans="2:16" ht="31.5" x14ac:dyDescent="0.25">
      <c r="B223" s="48"/>
      <c r="C223" s="48"/>
      <c r="D223" s="48"/>
      <c r="E223" s="48"/>
      <c r="F223" s="48"/>
      <c r="G223" s="48"/>
      <c r="H223" s="48"/>
      <c r="I223" s="48"/>
      <c r="J223" s="49"/>
      <c r="K223" s="48"/>
      <c r="L223" s="48"/>
      <c r="M223" s="7" t="s">
        <v>486</v>
      </c>
      <c r="N223" s="48"/>
      <c r="O223" s="49"/>
      <c r="P223" s="51"/>
    </row>
    <row r="224" spans="2:16" ht="31.5" x14ac:dyDescent="0.25">
      <c r="B224" s="37"/>
      <c r="C224" s="37"/>
      <c r="D224" s="37"/>
      <c r="E224" s="37"/>
      <c r="F224" s="37"/>
      <c r="G224" s="37"/>
      <c r="H224" s="37"/>
      <c r="I224" s="37"/>
      <c r="J224" s="39"/>
      <c r="K224" s="37"/>
      <c r="L224" s="37"/>
      <c r="M224" s="8" t="s">
        <v>267</v>
      </c>
      <c r="N224" s="37"/>
      <c r="O224" s="39"/>
      <c r="P224" s="52"/>
    </row>
    <row r="225" spans="2:16" ht="31.5" x14ac:dyDescent="0.25">
      <c r="B225" s="2">
        <v>130</v>
      </c>
      <c r="C225" s="2" t="str">
        <f>"NOS-108/15"</f>
        <v>NOS-108/15</v>
      </c>
      <c r="D225" s="2" t="s">
        <v>85</v>
      </c>
      <c r="E225" s="2" t="s">
        <v>17</v>
      </c>
      <c r="F225" s="2" t="s">
        <v>487</v>
      </c>
      <c r="G225" s="2" t="str">
        <f>"2015-2194"</f>
        <v>2015-2194</v>
      </c>
      <c r="H225" s="2" t="str">
        <f>"2015/S 003-0038611"</f>
        <v>2015/S 003-0038611</v>
      </c>
      <c r="I225" s="2" t="s">
        <v>19</v>
      </c>
      <c r="J225" s="3" t="str">
        <f>"1.000.000,00"</f>
        <v>1.000.000,00</v>
      </c>
      <c r="K225" s="2" t="s">
        <v>488</v>
      </c>
      <c r="L225" s="2" t="s">
        <v>489</v>
      </c>
      <c r="M225" s="2" t="s">
        <v>490</v>
      </c>
      <c r="N225" s="2" t="s">
        <v>23</v>
      </c>
      <c r="O225" s="3" t="str">
        <f>"422.095,50"</f>
        <v>422.095,50</v>
      </c>
      <c r="P225" s="4"/>
    </row>
    <row r="226" spans="2:16" ht="31.5" x14ac:dyDescent="0.25">
      <c r="B226" s="36">
        <v>131</v>
      </c>
      <c r="C226" s="36" t="str">
        <f>"NOS-127-A/15"</f>
        <v>NOS-127-A/15</v>
      </c>
      <c r="D226" s="36" t="s">
        <v>16</v>
      </c>
      <c r="E226" s="36" t="s">
        <v>17</v>
      </c>
      <c r="F226" s="36" t="s">
        <v>491</v>
      </c>
      <c r="G226" s="36" t="str">
        <f>"2015-961"</f>
        <v>2015-961</v>
      </c>
      <c r="H226" s="36" t="str">
        <f>"2015/S 003-0038292"</f>
        <v>2015/S 003-0038292</v>
      </c>
      <c r="I226" s="36" t="s">
        <v>19</v>
      </c>
      <c r="J226" s="38" t="str">
        <f>"1.350.000,00"</f>
        <v>1.350.000,00</v>
      </c>
      <c r="K226" s="36" t="s">
        <v>492</v>
      </c>
      <c r="L226" s="36" t="s">
        <v>493</v>
      </c>
      <c r="M226" s="6" t="s">
        <v>342</v>
      </c>
      <c r="N226" s="36" t="s">
        <v>23</v>
      </c>
      <c r="O226" s="38" t="str">
        <f>"44.814,17"</f>
        <v>44.814,17</v>
      </c>
      <c r="P226" s="50"/>
    </row>
    <row r="227" spans="2:16" ht="31.5" x14ac:dyDescent="0.25">
      <c r="B227" s="48"/>
      <c r="C227" s="48"/>
      <c r="D227" s="48"/>
      <c r="E227" s="48"/>
      <c r="F227" s="48"/>
      <c r="G227" s="48"/>
      <c r="H227" s="48"/>
      <c r="I227" s="48"/>
      <c r="J227" s="49"/>
      <c r="K227" s="48"/>
      <c r="L227" s="48"/>
      <c r="M227" s="7" t="s">
        <v>475</v>
      </c>
      <c r="N227" s="48"/>
      <c r="O227" s="49"/>
      <c r="P227" s="51"/>
    </row>
    <row r="228" spans="2:16" ht="31.5" x14ac:dyDescent="0.25">
      <c r="B228" s="37"/>
      <c r="C228" s="37"/>
      <c r="D228" s="37"/>
      <c r="E228" s="37"/>
      <c r="F228" s="37"/>
      <c r="G228" s="37"/>
      <c r="H228" s="37"/>
      <c r="I228" s="37"/>
      <c r="J228" s="39"/>
      <c r="K228" s="37"/>
      <c r="L228" s="37"/>
      <c r="M228" s="8" t="s">
        <v>494</v>
      </c>
      <c r="N228" s="37"/>
      <c r="O228" s="39"/>
      <c r="P228" s="52"/>
    </row>
    <row r="229" spans="2:16" ht="47.25" x14ac:dyDescent="0.25">
      <c r="B229" s="36">
        <v>132</v>
      </c>
      <c r="C229" s="36" t="str">
        <f>"NOS-118/15"</f>
        <v>NOS-118/15</v>
      </c>
      <c r="D229" s="36" t="s">
        <v>16</v>
      </c>
      <c r="E229" s="36" t="s">
        <v>17</v>
      </c>
      <c r="F229" s="36" t="s">
        <v>495</v>
      </c>
      <c r="G229" s="36" t="str">
        <f>"2015-2405"</f>
        <v>2015-2405</v>
      </c>
      <c r="H229" s="36" t="str">
        <f>"2015/S 003-0033665"</f>
        <v>2015/S 003-0033665</v>
      </c>
      <c r="I229" s="36" t="s">
        <v>19</v>
      </c>
      <c r="J229" s="38" t="str">
        <f>"1.000.000,00"</f>
        <v>1.000.000,00</v>
      </c>
      <c r="K229" s="36" t="s">
        <v>456</v>
      </c>
      <c r="L229" s="36" t="s">
        <v>457</v>
      </c>
      <c r="M229" s="6" t="s">
        <v>153</v>
      </c>
      <c r="N229" s="36" t="s">
        <v>23</v>
      </c>
      <c r="O229" s="38" t="str">
        <f>"133.814,40"</f>
        <v>133.814,40</v>
      </c>
      <c r="P229" s="50"/>
    </row>
    <row r="230" spans="2:16" ht="31.5" x14ac:dyDescent="0.25">
      <c r="B230" s="37"/>
      <c r="C230" s="37"/>
      <c r="D230" s="37"/>
      <c r="E230" s="37"/>
      <c r="F230" s="37"/>
      <c r="G230" s="37"/>
      <c r="H230" s="37"/>
      <c r="I230" s="37"/>
      <c r="J230" s="39"/>
      <c r="K230" s="37"/>
      <c r="L230" s="37"/>
      <c r="M230" s="8" t="s">
        <v>111</v>
      </c>
      <c r="N230" s="37"/>
      <c r="O230" s="39"/>
      <c r="P230" s="52"/>
    </row>
    <row r="231" spans="2:16" ht="63" x14ac:dyDescent="0.25">
      <c r="B231" s="2">
        <v>133</v>
      </c>
      <c r="C231" s="2" t="str">
        <f>"NOS-107/15"</f>
        <v>NOS-107/15</v>
      </c>
      <c r="D231" s="2" t="s">
        <v>16</v>
      </c>
      <c r="E231" s="2" t="s">
        <v>17</v>
      </c>
      <c r="F231" s="2" t="s">
        <v>496</v>
      </c>
      <c r="G231" s="2" t="str">
        <f>"2015-2385"</f>
        <v>2015-2385</v>
      </c>
      <c r="H231" s="2" t="str">
        <f>"2015/S 003-0037411"</f>
        <v>2015/S 003-0037411</v>
      </c>
      <c r="I231" s="2" t="s">
        <v>19</v>
      </c>
      <c r="J231" s="3" t="str">
        <f>"750.000,00"</f>
        <v>750.000,00</v>
      </c>
      <c r="K231" s="2" t="s">
        <v>488</v>
      </c>
      <c r="L231" s="2" t="s">
        <v>489</v>
      </c>
      <c r="M231" s="2" t="s">
        <v>497</v>
      </c>
      <c r="N231" s="2" t="s">
        <v>23</v>
      </c>
      <c r="O231" s="3" t="str">
        <f>"10.000,00"</f>
        <v>10.000,00</v>
      </c>
      <c r="P231" s="4"/>
    </row>
    <row r="232" spans="2:16" ht="31.5" x14ac:dyDescent="0.25">
      <c r="B232" s="36">
        <v>134</v>
      </c>
      <c r="C232" s="36" t="str">
        <f>"NOS-128/15"</f>
        <v>NOS-128/15</v>
      </c>
      <c r="D232" s="36" t="s">
        <v>28</v>
      </c>
      <c r="E232" s="36" t="s">
        <v>17</v>
      </c>
      <c r="F232" s="36" t="s">
        <v>498</v>
      </c>
      <c r="G232" s="36" t="str">
        <f>"2015-2333"</f>
        <v>2015-2333</v>
      </c>
      <c r="H232" s="36" t="str">
        <f>"2016/S 003-0000187"</f>
        <v>2016/S 003-0000187</v>
      </c>
      <c r="I232" s="36" t="s">
        <v>19</v>
      </c>
      <c r="J232" s="38" t="str">
        <f>"28.060.000,00"</f>
        <v>28.060.000,00</v>
      </c>
      <c r="K232" s="36" t="s">
        <v>499</v>
      </c>
      <c r="L232" s="36" t="s">
        <v>500</v>
      </c>
      <c r="M232" s="6" t="s">
        <v>501</v>
      </c>
      <c r="N232" s="36" t="s">
        <v>23</v>
      </c>
      <c r="O232" s="38" t="str">
        <f>"16.750,00"</f>
        <v>16.750,00</v>
      </c>
      <c r="P232" s="50"/>
    </row>
    <row r="233" spans="2:16" ht="47.25" x14ac:dyDescent="0.25">
      <c r="B233" s="48"/>
      <c r="C233" s="48"/>
      <c r="D233" s="48"/>
      <c r="E233" s="48"/>
      <c r="F233" s="48"/>
      <c r="G233" s="48"/>
      <c r="H233" s="48"/>
      <c r="I233" s="48"/>
      <c r="J233" s="49"/>
      <c r="K233" s="48"/>
      <c r="L233" s="48"/>
      <c r="M233" s="7" t="s">
        <v>502</v>
      </c>
      <c r="N233" s="48"/>
      <c r="O233" s="49"/>
      <c r="P233" s="51"/>
    </row>
    <row r="234" spans="2:16" ht="31.5" x14ac:dyDescent="0.25">
      <c r="B234" s="48"/>
      <c r="C234" s="48"/>
      <c r="D234" s="48"/>
      <c r="E234" s="48"/>
      <c r="F234" s="48"/>
      <c r="G234" s="48"/>
      <c r="H234" s="48"/>
      <c r="I234" s="48"/>
      <c r="J234" s="49"/>
      <c r="K234" s="48"/>
      <c r="L234" s="48"/>
      <c r="M234" s="7" t="s">
        <v>503</v>
      </c>
      <c r="N234" s="48"/>
      <c r="O234" s="49"/>
      <c r="P234" s="51"/>
    </row>
    <row r="235" spans="2:16" ht="31.5" x14ac:dyDescent="0.25">
      <c r="B235" s="37"/>
      <c r="C235" s="37"/>
      <c r="D235" s="37"/>
      <c r="E235" s="37"/>
      <c r="F235" s="37"/>
      <c r="G235" s="37"/>
      <c r="H235" s="37"/>
      <c r="I235" s="37"/>
      <c r="J235" s="39"/>
      <c r="K235" s="37"/>
      <c r="L235" s="37"/>
      <c r="M235" s="8" t="s">
        <v>504</v>
      </c>
      <c r="N235" s="37"/>
      <c r="O235" s="39"/>
      <c r="P235" s="52"/>
    </row>
    <row r="236" spans="2:16" ht="31.5" x14ac:dyDescent="0.25">
      <c r="B236" s="36">
        <v>135</v>
      </c>
      <c r="C236" s="36" t="str">
        <f>"NOS-91/15"</f>
        <v>NOS-91/15</v>
      </c>
      <c r="D236" s="36" t="s">
        <v>85</v>
      </c>
      <c r="E236" s="36" t="s">
        <v>17</v>
      </c>
      <c r="F236" s="36" t="s">
        <v>505</v>
      </c>
      <c r="G236" s="36" t="str">
        <f>"2015-1845"</f>
        <v>2015-1845</v>
      </c>
      <c r="H236" s="36" t="str">
        <f>"2015/S 003-0037394"</f>
        <v>2015/S 003-0037394</v>
      </c>
      <c r="I236" s="36" t="s">
        <v>19</v>
      </c>
      <c r="J236" s="38" t="str">
        <f>"889.000,00"</f>
        <v>889.000,00</v>
      </c>
      <c r="K236" s="36" t="s">
        <v>178</v>
      </c>
      <c r="L236" s="36" t="s">
        <v>179</v>
      </c>
      <c r="M236" s="6" t="s">
        <v>506</v>
      </c>
      <c r="N236" s="36" t="s">
        <v>23</v>
      </c>
      <c r="O236" s="38" t="str">
        <f>"0,00"</f>
        <v>0,00</v>
      </c>
      <c r="P236" s="50"/>
    </row>
    <row r="237" spans="2:16" ht="47.25" x14ac:dyDescent="0.25">
      <c r="B237" s="48"/>
      <c r="C237" s="48"/>
      <c r="D237" s="48"/>
      <c r="E237" s="48"/>
      <c r="F237" s="48"/>
      <c r="G237" s="48"/>
      <c r="H237" s="48"/>
      <c r="I237" s="48"/>
      <c r="J237" s="49"/>
      <c r="K237" s="48"/>
      <c r="L237" s="48"/>
      <c r="M237" s="7" t="s">
        <v>321</v>
      </c>
      <c r="N237" s="48"/>
      <c r="O237" s="49"/>
      <c r="P237" s="51"/>
    </row>
    <row r="238" spans="2:16" ht="63" x14ac:dyDescent="0.25">
      <c r="B238" s="37"/>
      <c r="C238" s="37"/>
      <c r="D238" s="37"/>
      <c r="E238" s="37"/>
      <c r="F238" s="37"/>
      <c r="G238" s="37"/>
      <c r="H238" s="37"/>
      <c r="I238" s="37"/>
      <c r="J238" s="39"/>
      <c r="K238" s="37"/>
      <c r="L238" s="37"/>
      <c r="M238" s="8" t="s">
        <v>138</v>
      </c>
      <c r="N238" s="37"/>
      <c r="O238" s="39"/>
      <c r="P238" s="52"/>
    </row>
    <row r="239" spans="2:16" ht="31.5" x14ac:dyDescent="0.25">
      <c r="B239" s="36">
        <v>136</v>
      </c>
      <c r="C239" s="36" t="str">
        <f>"NOS-70-A/15"</f>
        <v>NOS-70-A/15</v>
      </c>
      <c r="D239" s="36" t="s">
        <v>28</v>
      </c>
      <c r="E239" s="36" t="s">
        <v>17</v>
      </c>
      <c r="F239" s="36" t="s">
        <v>507</v>
      </c>
      <c r="G239" s="36" t="str">
        <f>"2015-2280"</f>
        <v>2015-2280</v>
      </c>
      <c r="H239" s="36" t="str">
        <f>"2015/S 003-0029569"</f>
        <v>2015/S 003-0029569</v>
      </c>
      <c r="I239" s="36" t="s">
        <v>19</v>
      </c>
      <c r="J239" s="38" t="str">
        <f>"700.000,00"</f>
        <v>700.000,00</v>
      </c>
      <c r="K239" s="36" t="s">
        <v>216</v>
      </c>
      <c r="L239" s="36" t="s">
        <v>217</v>
      </c>
      <c r="M239" s="6" t="s">
        <v>508</v>
      </c>
      <c r="N239" s="36" t="s">
        <v>23</v>
      </c>
      <c r="O239" s="38" t="str">
        <f>"74.184,42"</f>
        <v>74.184,42</v>
      </c>
      <c r="P239" s="50"/>
    </row>
    <row r="240" spans="2:16" ht="47.25" x14ac:dyDescent="0.25">
      <c r="B240" s="48"/>
      <c r="C240" s="48"/>
      <c r="D240" s="48"/>
      <c r="E240" s="48"/>
      <c r="F240" s="48"/>
      <c r="G240" s="48"/>
      <c r="H240" s="48"/>
      <c r="I240" s="48"/>
      <c r="J240" s="49"/>
      <c r="K240" s="48"/>
      <c r="L240" s="48"/>
      <c r="M240" s="7" t="s">
        <v>44</v>
      </c>
      <c r="N240" s="48"/>
      <c r="O240" s="49"/>
      <c r="P240" s="51"/>
    </row>
    <row r="241" spans="2:16" ht="31.5" x14ac:dyDescent="0.25">
      <c r="B241" s="37"/>
      <c r="C241" s="37"/>
      <c r="D241" s="37"/>
      <c r="E241" s="37"/>
      <c r="F241" s="37"/>
      <c r="G241" s="37"/>
      <c r="H241" s="37"/>
      <c r="I241" s="37"/>
      <c r="J241" s="39"/>
      <c r="K241" s="37"/>
      <c r="L241" s="37"/>
      <c r="M241" s="8" t="s">
        <v>509</v>
      </c>
      <c r="N241" s="37"/>
      <c r="O241" s="39"/>
      <c r="P241" s="52"/>
    </row>
    <row r="242" spans="2:16" ht="47.25" x14ac:dyDescent="0.25">
      <c r="B242" s="2">
        <v>137</v>
      </c>
      <c r="C242" s="2" t="str">
        <f>"NOS-95/15"</f>
        <v>NOS-95/15</v>
      </c>
      <c r="D242" s="2" t="s">
        <v>16</v>
      </c>
      <c r="E242" s="2" t="s">
        <v>17</v>
      </c>
      <c r="F242" s="2" t="s">
        <v>510</v>
      </c>
      <c r="G242" s="2" t="str">
        <f>"2015-1822"</f>
        <v>2015-1822</v>
      </c>
      <c r="H242" s="2" t="str">
        <f>"2015/S 003-0035724"</f>
        <v>2015/S 003-0035724</v>
      </c>
      <c r="I242" s="2" t="s">
        <v>19</v>
      </c>
      <c r="J242" s="3" t="str">
        <f>"500.000,00"</f>
        <v>500.000,00</v>
      </c>
      <c r="K242" s="2" t="s">
        <v>207</v>
      </c>
      <c r="L242" s="2" t="s">
        <v>208</v>
      </c>
      <c r="M242" s="2" t="s">
        <v>73</v>
      </c>
      <c r="N242" s="2" t="s">
        <v>23</v>
      </c>
      <c r="O242" s="3" t="str">
        <f>"109.280,50"</f>
        <v>109.280,50</v>
      </c>
      <c r="P242" s="4"/>
    </row>
    <row r="243" spans="2:16" ht="47.25" x14ac:dyDescent="0.25">
      <c r="B243" s="2">
        <v>138</v>
      </c>
      <c r="C243" s="2" t="str">
        <f>"NOS-67/15"</f>
        <v>NOS-67/15</v>
      </c>
      <c r="D243" s="2" t="s">
        <v>28</v>
      </c>
      <c r="E243" s="2" t="s">
        <v>17</v>
      </c>
      <c r="F243" s="2" t="s">
        <v>511</v>
      </c>
      <c r="G243" s="2" t="str">
        <f>"2015-2286"</f>
        <v>2015-2286</v>
      </c>
      <c r="H243" s="2" t="str">
        <f>"2015/S 003-0029060"</f>
        <v>2015/S 003-0029060</v>
      </c>
      <c r="I243" s="2" t="s">
        <v>19</v>
      </c>
      <c r="J243" s="3" t="str">
        <f>"1.200.000,00"</f>
        <v>1.200.000,00</v>
      </c>
      <c r="K243" s="2" t="s">
        <v>225</v>
      </c>
      <c r="L243" s="2" t="s">
        <v>226</v>
      </c>
      <c r="M243" s="2" t="s">
        <v>512</v>
      </c>
      <c r="N243" s="2" t="s">
        <v>23</v>
      </c>
      <c r="O243" s="3" t="str">
        <f>"77.012,22"</f>
        <v>77.012,22</v>
      </c>
      <c r="P243" s="4"/>
    </row>
    <row r="244" spans="2:16" ht="78.75" x14ac:dyDescent="0.25">
      <c r="B244" s="2">
        <v>139</v>
      </c>
      <c r="C244" s="2" t="str">
        <f>"NOS-105-A/15"</f>
        <v>NOS-105-A/15</v>
      </c>
      <c r="D244" s="2" t="s">
        <v>16</v>
      </c>
      <c r="E244" s="2" t="s">
        <v>17</v>
      </c>
      <c r="F244" s="2" t="s">
        <v>513</v>
      </c>
      <c r="G244" s="2" t="str">
        <f>"2015-969"</f>
        <v>2015-969</v>
      </c>
      <c r="H244" s="2" t="str">
        <f>"2015/S 003-0033734"</f>
        <v>2015/S 003-0033734</v>
      </c>
      <c r="I244" s="2" t="s">
        <v>19</v>
      </c>
      <c r="J244" s="3" t="str">
        <f>"2.340.000,00"</f>
        <v>2.340.000,00</v>
      </c>
      <c r="K244" s="2" t="s">
        <v>514</v>
      </c>
      <c r="L244" s="2" t="s">
        <v>245</v>
      </c>
      <c r="M244" s="2" t="s">
        <v>62</v>
      </c>
      <c r="N244" s="2" t="s">
        <v>23</v>
      </c>
      <c r="O244" s="3" t="str">
        <f>"169.840,33"</f>
        <v>169.840,33</v>
      </c>
      <c r="P244" s="4"/>
    </row>
    <row r="245" spans="2:16" ht="47.25" x14ac:dyDescent="0.25">
      <c r="B245" s="2">
        <v>140</v>
      </c>
      <c r="C245" s="2" t="str">
        <f>"NOS-104/15"</f>
        <v>NOS-104/15</v>
      </c>
      <c r="D245" s="2" t="s">
        <v>16</v>
      </c>
      <c r="E245" s="2" t="s">
        <v>17</v>
      </c>
      <c r="F245" s="2" t="s">
        <v>515</v>
      </c>
      <c r="G245" s="2" t="str">
        <f>"2015-2287"</f>
        <v>2015-2287</v>
      </c>
      <c r="H245" s="2" t="str">
        <f>"2015/S 003-0030785"</f>
        <v>2015/S 003-0030785</v>
      </c>
      <c r="I245" s="2" t="s">
        <v>19</v>
      </c>
      <c r="J245" s="3" t="str">
        <f>"2.000.000,00"</f>
        <v>2.000.000,00</v>
      </c>
      <c r="K245" s="2" t="s">
        <v>516</v>
      </c>
      <c r="L245" s="2" t="s">
        <v>517</v>
      </c>
      <c r="M245" s="2" t="s">
        <v>518</v>
      </c>
      <c r="N245" s="2" t="s">
        <v>23</v>
      </c>
      <c r="O245" s="3" t="str">
        <f>"43.580,00"</f>
        <v>43.580,00</v>
      </c>
      <c r="P245" s="4"/>
    </row>
    <row r="246" spans="2:16" ht="31.5" x14ac:dyDescent="0.25">
      <c r="B246" s="2">
        <v>141</v>
      </c>
      <c r="C246" s="2" t="str">
        <f>"NOS-65/15"</f>
        <v>NOS-65/15</v>
      </c>
      <c r="D246" s="2" t="s">
        <v>16</v>
      </c>
      <c r="E246" s="2" t="s">
        <v>17</v>
      </c>
      <c r="F246" s="2" t="s">
        <v>519</v>
      </c>
      <c r="G246" s="2" t="str">
        <f>"2015-606"</f>
        <v>2015-606</v>
      </c>
      <c r="H246" s="2" t="str">
        <f>" 2015/S 003-0027380"</f>
        <v xml:space="preserve"> 2015/S 003-0027380</v>
      </c>
      <c r="I246" s="2" t="s">
        <v>19</v>
      </c>
      <c r="J246" s="3" t="str">
        <f>"900.000,00"</f>
        <v>900.000,00</v>
      </c>
      <c r="K246" s="2" t="s">
        <v>364</v>
      </c>
      <c r="L246" s="2" t="s">
        <v>365</v>
      </c>
      <c r="M246" s="2" t="s">
        <v>520</v>
      </c>
      <c r="N246" s="2" t="s">
        <v>23</v>
      </c>
      <c r="O246" s="3" t="str">
        <f>"439.227,00"</f>
        <v>439.227,00</v>
      </c>
      <c r="P246" s="4"/>
    </row>
    <row r="247" spans="2:16" ht="47.25" x14ac:dyDescent="0.25">
      <c r="B247" s="2">
        <v>142</v>
      </c>
      <c r="C247" s="2" t="str">
        <f>"NOS-81/15"</f>
        <v>NOS-81/15</v>
      </c>
      <c r="D247" s="2" t="s">
        <v>16</v>
      </c>
      <c r="E247" s="2" t="s">
        <v>17</v>
      </c>
      <c r="F247" s="2" t="s">
        <v>521</v>
      </c>
      <c r="G247" s="2" t="str">
        <f>"2015-2300"</f>
        <v>2015-2300</v>
      </c>
      <c r="H247" s="2" t="str">
        <f>"2015/S 003-0032496"</f>
        <v>2015/S 003-0032496</v>
      </c>
      <c r="I247" s="2" t="s">
        <v>19</v>
      </c>
      <c r="J247" s="3" t="str">
        <f>"5.800.000,00"</f>
        <v>5.800.000,00</v>
      </c>
      <c r="K247" s="2" t="s">
        <v>216</v>
      </c>
      <c r="L247" s="2" t="s">
        <v>217</v>
      </c>
      <c r="M247" s="2" t="s">
        <v>522</v>
      </c>
      <c r="N247" s="2" t="s">
        <v>23</v>
      </c>
      <c r="O247" s="3" t="str">
        <f>"1.339.152,00"</f>
        <v>1.339.152,00</v>
      </c>
      <c r="P247" s="4"/>
    </row>
    <row r="248" spans="2:16" ht="94.5" x14ac:dyDescent="0.25">
      <c r="B248" s="2">
        <v>143</v>
      </c>
      <c r="C248" s="2" t="str">
        <f>"NOS-89-B/15"</f>
        <v>NOS-89-B/15</v>
      </c>
      <c r="D248" s="2" t="s">
        <v>76</v>
      </c>
      <c r="E248" s="2" t="s">
        <v>17</v>
      </c>
      <c r="F248" s="2" t="s">
        <v>523</v>
      </c>
      <c r="G248" s="2" t="str">
        <f>"2015-2297"</f>
        <v>2015-2297</v>
      </c>
      <c r="H248" s="2" t="str">
        <f>"2015/S 003-0038671"</f>
        <v>2015/S 003-0038671</v>
      </c>
      <c r="I248" s="2" t="s">
        <v>19</v>
      </c>
      <c r="J248" s="3" t="str">
        <f>"350.000,00"</f>
        <v>350.000,00</v>
      </c>
      <c r="K248" s="2" t="s">
        <v>178</v>
      </c>
      <c r="L248" s="2" t="s">
        <v>179</v>
      </c>
      <c r="M248" s="2" t="s">
        <v>524</v>
      </c>
      <c r="N248" s="2" t="s">
        <v>23</v>
      </c>
      <c r="O248" s="3" t="str">
        <f>"33.831,44"</f>
        <v>33.831,44</v>
      </c>
      <c r="P248" s="4"/>
    </row>
    <row r="249" spans="2:16" ht="47.25" x14ac:dyDescent="0.25">
      <c r="B249" s="36">
        <v>144</v>
      </c>
      <c r="C249" s="36" t="str">
        <f>"NOS-96-A/15"</f>
        <v>NOS-96-A/15</v>
      </c>
      <c r="D249" s="36" t="s">
        <v>16</v>
      </c>
      <c r="E249" s="36" t="s">
        <v>17</v>
      </c>
      <c r="F249" s="36" t="s">
        <v>525</v>
      </c>
      <c r="G249" s="36" t="str">
        <f>"2015-2275"</f>
        <v>2015-2275</v>
      </c>
      <c r="H249" s="36" t="str">
        <f>"2015/S 003-0033469"</f>
        <v>2015/S 003-0033469</v>
      </c>
      <c r="I249" s="36" t="s">
        <v>19</v>
      </c>
      <c r="J249" s="38" t="str">
        <f>"1.220.000,00"</f>
        <v>1.220.000,00</v>
      </c>
      <c r="K249" s="36" t="s">
        <v>526</v>
      </c>
      <c r="L249" s="36" t="s">
        <v>527</v>
      </c>
      <c r="M249" s="6" t="s">
        <v>528</v>
      </c>
      <c r="N249" s="36" t="s">
        <v>23</v>
      </c>
      <c r="O249" s="38" t="str">
        <f>"74.083,00"</f>
        <v>74.083,00</v>
      </c>
      <c r="P249" s="50"/>
    </row>
    <row r="250" spans="2:16" ht="47.25" x14ac:dyDescent="0.25">
      <c r="B250" s="48"/>
      <c r="C250" s="48"/>
      <c r="D250" s="48"/>
      <c r="E250" s="48"/>
      <c r="F250" s="48"/>
      <c r="G250" s="48"/>
      <c r="H250" s="48"/>
      <c r="I250" s="48"/>
      <c r="J250" s="49"/>
      <c r="K250" s="48"/>
      <c r="L250" s="48"/>
      <c r="M250" s="7" t="s">
        <v>529</v>
      </c>
      <c r="N250" s="48"/>
      <c r="O250" s="49"/>
      <c r="P250" s="51"/>
    </row>
    <row r="251" spans="2:16" ht="31.5" x14ac:dyDescent="0.25">
      <c r="B251" s="37"/>
      <c r="C251" s="37"/>
      <c r="D251" s="37"/>
      <c r="E251" s="37"/>
      <c r="F251" s="37"/>
      <c r="G251" s="37"/>
      <c r="H251" s="37"/>
      <c r="I251" s="37"/>
      <c r="J251" s="39"/>
      <c r="K251" s="37"/>
      <c r="L251" s="37"/>
      <c r="M251" s="8" t="s">
        <v>62</v>
      </c>
      <c r="N251" s="37"/>
      <c r="O251" s="39"/>
      <c r="P251" s="52"/>
    </row>
    <row r="252" spans="2:16" ht="47.25" x14ac:dyDescent="0.25">
      <c r="B252" s="2">
        <v>145</v>
      </c>
      <c r="C252" s="2" t="str">
        <f>"NOS-87/15"</f>
        <v>NOS-87/15</v>
      </c>
      <c r="D252" s="2" t="s">
        <v>16</v>
      </c>
      <c r="E252" s="2" t="s">
        <v>17</v>
      </c>
      <c r="F252" s="2" t="s">
        <v>530</v>
      </c>
      <c r="G252" s="2" t="str">
        <f>"2015-2276"</f>
        <v>2015-2276</v>
      </c>
      <c r="H252" s="2" t="str">
        <f>"2015/S 003-0030391"</f>
        <v>2015/S 003-0030391</v>
      </c>
      <c r="I252" s="2" t="s">
        <v>19</v>
      </c>
      <c r="J252" s="3" t="str">
        <f>"450.000,00"</f>
        <v>450.000,00</v>
      </c>
      <c r="K252" s="2" t="s">
        <v>263</v>
      </c>
      <c r="L252" s="2" t="s">
        <v>264</v>
      </c>
      <c r="M252" s="2" t="s">
        <v>531</v>
      </c>
      <c r="N252" s="2" t="s">
        <v>23</v>
      </c>
      <c r="O252" s="3" t="str">
        <f>"256.112,50"</f>
        <v>256.112,50</v>
      </c>
      <c r="P252" s="4"/>
    </row>
    <row r="253" spans="2:16" ht="47.25" x14ac:dyDescent="0.25">
      <c r="B253" s="2">
        <v>146</v>
      </c>
      <c r="C253" s="2" t="str">
        <f>"NOS-86/15"</f>
        <v>NOS-86/15</v>
      </c>
      <c r="D253" s="2" t="s">
        <v>85</v>
      </c>
      <c r="E253" s="2" t="s">
        <v>17</v>
      </c>
      <c r="F253" s="2" t="s">
        <v>532</v>
      </c>
      <c r="G253" s="2" t="str">
        <f>"2015-2316"</f>
        <v>2015-2316</v>
      </c>
      <c r="H253" s="2" t="str">
        <f>"2015/S 003-0035294"</f>
        <v>2015/S 003-0035294</v>
      </c>
      <c r="I253" s="2" t="s">
        <v>19</v>
      </c>
      <c r="J253" s="3" t="str">
        <f>"1.000.000,00"</f>
        <v>1.000.000,00</v>
      </c>
      <c r="K253" s="2" t="s">
        <v>263</v>
      </c>
      <c r="L253" s="2" t="s">
        <v>264</v>
      </c>
      <c r="M253" s="2" t="s">
        <v>533</v>
      </c>
      <c r="N253" s="2" t="s">
        <v>23</v>
      </c>
      <c r="O253" s="3" t="str">
        <f>"0,00"</f>
        <v>0,00</v>
      </c>
      <c r="P253" s="4"/>
    </row>
    <row r="254" spans="2:16" ht="47.25" x14ac:dyDescent="0.25">
      <c r="B254" s="2">
        <v>147</v>
      </c>
      <c r="C254" s="2" t="str">
        <f>"NOS-78/15"</f>
        <v>NOS-78/15</v>
      </c>
      <c r="D254" s="2" t="s">
        <v>16</v>
      </c>
      <c r="E254" s="2" t="s">
        <v>17</v>
      </c>
      <c r="F254" s="2" t="s">
        <v>534</v>
      </c>
      <c r="G254" s="2" t="str">
        <f>"2015-2285"</f>
        <v>2015-2285</v>
      </c>
      <c r="H254" s="2" t="str">
        <f>"2015/S 003-0032807"</f>
        <v>2015/S 003-0032807</v>
      </c>
      <c r="I254" s="2" t="s">
        <v>19</v>
      </c>
      <c r="J254" s="3" t="str">
        <f>"800.000,00"</f>
        <v>800.000,00</v>
      </c>
      <c r="K254" s="2" t="s">
        <v>167</v>
      </c>
      <c r="L254" s="2" t="s">
        <v>168</v>
      </c>
      <c r="M254" s="2" t="s">
        <v>351</v>
      </c>
      <c r="N254" s="2" t="s">
        <v>23</v>
      </c>
      <c r="O254" s="3" t="str">
        <f>"17.298,00"</f>
        <v>17.298,00</v>
      </c>
      <c r="P254" s="4"/>
    </row>
    <row r="255" spans="2:16" ht="63" x14ac:dyDescent="0.25">
      <c r="B255" s="2">
        <v>148</v>
      </c>
      <c r="C255" s="2" t="str">
        <f>"NOS-84/15"</f>
        <v>NOS-84/15</v>
      </c>
      <c r="D255" s="2" t="s">
        <v>16</v>
      </c>
      <c r="E255" s="2" t="s">
        <v>17</v>
      </c>
      <c r="F255" s="2" t="s">
        <v>535</v>
      </c>
      <c r="G255" s="2" t="str">
        <f>"2015-2325"</f>
        <v>2015-2325</v>
      </c>
      <c r="H255" s="2" t="str">
        <f>"2015/S 003-0030406"</f>
        <v>2015/S 003-0030406</v>
      </c>
      <c r="I255" s="2" t="s">
        <v>19</v>
      </c>
      <c r="J255" s="3" t="str">
        <f>"4.300.000,00"</f>
        <v>4.300.000,00</v>
      </c>
      <c r="K255" s="2" t="s">
        <v>178</v>
      </c>
      <c r="L255" s="2" t="s">
        <v>179</v>
      </c>
      <c r="M255" s="2" t="s">
        <v>138</v>
      </c>
      <c r="N255" s="2" t="s">
        <v>23</v>
      </c>
      <c r="O255" s="3" t="str">
        <f>"896.627,05"</f>
        <v>896.627,05</v>
      </c>
      <c r="P255" s="4"/>
    </row>
    <row r="256" spans="2:16" ht="47.25" x14ac:dyDescent="0.25">
      <c r="B256" s="36">
        <v>149</v>
      </c>
      <c r="C256" s="36" t="str">
        <f>"NOS-130/15"</f>
        <v>NOS-130/15</v>
      </c>
      <c r="D256" s="36" t="s">
        <v>28</v>
      </c>
      <c r="E256" s="36" t="s">
        <v>17</v>
      </c>
      <c r="F256" s="36" t="s">
        <v>536</v>
      </c>
      <c r="G256" s="36" t="str">
        <f>"2015-2291"</f>
        <v>2015-2291</v>
      </c>
      <c r="H256" s="44" t="s">
        <v>1545</v>
      </c>
      <c r="I256" s="36" t="s">
        <v>19</v>
      </c>
      <c r="J256" s="38" t="str">
        <f>"2.500.000,00"</f>
        <v>2.500.000,00</v>
      </c>
      <c r="K256" s="36" t="s">
        <v>537</v>
      </c>
      <c r="L256" s="36" t="s">
        <v>538</v>
      </c>
      <c r="M256" s="6" t="s">
        <v>44</v>
      </c>
      <c r="N256" s="36" t="s">
        <v>23</v>
      </c>
      <c r="O256" s="38" t="str">
        <f>"11.725,25"</f>
        <v>11.725,25</v>
      </c>
      <c r="P256" s="50"/>
    </row>
    <row r="257" spans="2:16" ht="31.5" x14ac:dyDescent="0.25">
      <c r="B257" s="37"/>
      <c r="C257" s="37"/>
      <c r="D257" s="37"/>
      <c r="E257" s="37"/>
      <c r="F257" s="37"/>
      <c r="G257" s="37"/>
      <c r="H257" s="45"/>
      <c r="I257" s="37"/>
      <c r="J257" s="39"/>
      <c r="K257" s="37"/>
      <c r="L257" s="37"/>
      <c r="M257" s="8" t="s">
        <v>84</v>
      </c>
      <c r="N257" s="37"/>
      <c r="O257" s="39"/>
      <c r="P257" s="52"/>
    </row>
    <row r="258" spans="2:16" ht="47.25" x14ac:dyDescent="0.25">
      <c r="B258" s="2">
        <v>150</v>
      </c>
      <c r="C258" s="2" t="str">
        <f>"NOS-85/15"</f>
        <v>NOS-85/15</v>
      </c>
      <c r="D258" s="2" t="s">
        <v>16</v>
      </c>
      <c r="E258" s="2" t="s">
        <v>17</v>
      </c>
      <c r="F258" s="2" t="s">
        <v>539</v>
      </c>
      <c r="G258" s="2" t="str">
        <f>"2015-2234"</f>
        <v>2015-2234</v>
      </c>
      <c r="H258" s="2" t="str">
        <f>"2015/S 003-0035723"</f>
        <v>2015/S 003-0035723</v>
      </c>
      <c r="I258" s="2" t="s">
        <v>19</v>
      </c>
      <c r="J258" s="3" t="str">
        <f>"6.000.000,00"</f>
        <v>6.000.000,00</v>
      </c>
      <c r="K258" s="2" t="s">
        <v>232</v>
      </c>
      <c r="L258" s="2" t="s">
        <v>233</v>
      </c>
      <c r="M258" s="2" t="s">
        <v>197</v>
      </c>
      <c r="N258" s="2" t="s">
        <v>23</v>
      </c>
      <c r="O258" s="3" t="str">
        <f>"757.250,00"</f>
        <v>757.250,00</v>
      </c>
      <c r="P258" s="4"/>
    </row>
    <row r="259" spans="2:16" ht="78.75" x14ac:dyDescent="0.25">
      <c r="B259" s="2">
        <v>151</v>
      </c>
      <c r="C259" s="2" t="str">
        <f>"NOS-114-A/15"</f>
        <v>NOS-114-A/15</v>
      </c>
      <c r="D259" s="2" t="s">
        <v>16</v>
      </c>
      <c r="E259" s="2" t="s">
        <v>17</v>
      </c>
      <c r="F259" s="2" t="s">
        <v>540</v>
      </c>
      <c r="G259" s="2" t="str">
        <f>"2015-2283"</f>
        <v>2015-2283</v>
      </c>
      <c r="H259" s="2" t="str">
        <f>"2015/S 003-0038564"</f>
        <v>2015/S 003-0038564</v>
      </c>
      <c r="I259" s="2" t="s">
        <v>19</v>
      </c>
      <c r="J259" s="3" t="str">
        <f>"2.350.000,00"</f>
        <v>2.350.000,00</v>
      </c>
      <c r="K259" s="2" t="s">
        <v>460</v>
      </c>
      <c r="L259" s="2" t="s">
        <v>461</v>
      </c>
      <c r="M259" s="2" t="s">
        <v>62</v>
      </c>
      <c r="N259" s="2" t="s">
        <v>23</v>
      </c>
      <c r="O259" s="3" t="str">
        <f>"57.273,53"</f>
        <v>57.273,53</v>
      </c>
      <c r="P259" s="4"/>
    </row>
    <row r="260" spans="2:16" ht="31.5" x14ac:dyDescent="0.25">
      <c r="B260" s="2">
        <v>152</v>
      </c>
      <c r="C260" s="2" t="str">
        <f>"NOS-121/15"</f>
        <v>NOS-121/15</v>
      </c>
      <c r="D260" s="2" t="s">
        <v>85</v>
      </c>
      <c r="E260" s="2" t="s">
        <v>17</v>
      </c>
      <c r="F260" s="2" t="s">
        <v>541</v>
      </c>
      <c r="G260" s="2" t="str">
        <f>"2015-2299"</f>
        <v>2015-2299</v>
      </c>
      <c r="H260" s="2" t="str">
        <f>"2015/S 003-0034974"</f>
        <v>2015/S 003-0034974</v>
      </c>
      <c r="I260" s="2" t="s">
        <v>19</v>
      </c>
      <c r="J260" s="3" t="str">
        <f>"1.190.100,00"</f>
        <v>1.190.100,00</v>
      </c>
      <c r="K260" s="2" t="s">
        <v>386</v>
      </c>
      <c r="L260" s="2" t="s">
        <v>387</v>
      </c>
      <c r="M260" s="2" t="s">
        <v>542</v>
      </c>
      <c r="N260" s="2" t="s">
        <v>23</v>
      </c>
      <c r="O260" s="3" t="str">
        <f>"84.900,00"</f>
        <v>84.900,00</v>
      </c>
      <c r="P260" s="4"/>
    </row>
    <row r="261" spans="2:16" ht="47.25" x14ac:dyDescent="0.25">
      <c r="B261" s="36">
        <v>153</v>
      </c>
      <c r="C261" s="36" t="str">
        <f>"NOS-93/15"</f>
        <v>NOS-93/15</v>
      </c>
      <c r="D261" s="36" t="s">
        <v>76</v>
      </c>
      <c r="E261" s="36" t="s">
        <v>17</v>
      </c>
      <c r="F261" s="36" t="s">
        <v>543</v>
      </c>
      <c r="G261" s="36" t="str">
        <f>"2015-2279"</f>
        <v>2015-2279</v>
      </c>
      <c r="H261" s="36" t="str">
        <f>"2015/S 003-0034137"</f>
        <v>2015/S 003-0034137</v>
      </c>
      <c r="I261" s="36" t="s">
        <v>19</v>
      </c>
      <c r="J261" s="38" t="str">
        <f>"2.260.000,00"</f>
        <v>2.260.000,00</v>
      </c>
      <c r="K261" s="36" t="s">
        <v>178</v>
      </c>
      <c r="L261" s="36" t="s">
        <v>179</v>
      </c>
      <c r="M261" s="6" t="s">
        <v>544</v>
      </c>
      <c r="N261" s="36" t="s">
        <v>23</v>
      </c>
      <c r="O261" s="38" t="str">
        <f>"94.515,15"</f>
        <v>94.515,15</v>
      </c>
      <c r="P261" s="50"/>
    </row>
    <row r="262" spans="2:16" ht="47.25" x14ac:dyDescent="0.25">
      <c r="B262" s="48"/>
      <c r="C262" s="48"/>
      <c r="D262" s="48"/>
      <c r="E262" s="48"/>
      <c r="F262" s="48"/>
      <c r="G262" s="48"/>
      <c r="H262" s="48"/>
      <c r="I262" s="48"/>
      <c r="J262" s="49"/>
      <c r="K262" s="48"/>
      <c r="L262" s="48"/>
      <c r="M262" s="7" t="s">
        <v>75</v>
      </c>
      <c r="N262" s="48"/>
      <c r="O262" s="49"/>
      <c r="P262" s="51"/>
    </row>
    <row r="263" spans="2:16" ht="31.5" x14ac:dyDescent="0.25">
      <c r="B263" s="48"/>
      <c r="C263" s="48"/>
      <c r="D263" s="48"/>
      <c r="E263" s="48"/>
      <c r="F263" s="48"/>
      <c r="G263" s="48"/>
      <c r="H263" s="48"/>
      <c r="I263" s="48"/>
      <c r="J263" s="49"/>
      <c r="K263" s="48"/>
      <c r="L263" s="48"/>
      <c r="M263" s="7" t="s">
        <v>545</v>
      </c>
      <c r="N263" s="48"/>
      <c r="O263" s="49"/>
      <c r="P263" s="51"/>
    </row>
    <row r="264" spans="2:16" ht="47.25" x14ac:dyDescent="0.25">
      <c r="B264" s="37"/>
      <c r="C264" s="37"/>
      <c r="D264" s="37"/>
      <c r="E264" s="37"/>
      <c r="F264" s="37"/>
      <c r="G264" s="37"/>
      <c r="H264" s="37"/>
      <c r="I264" s="37"/>
      <c r="J264" s="39"/>
      <c r="K264" s="37"/>
      <c r="L264" s="37"/>
      <c r="M264" s="8" t="s">
        <v>44</v>
      </c>
      <c r="N264" s="37"/>
      <c r="O264" s="39"/>
      <c r="P264" s="52"/>
    </row>
    <row r="265" spans="2:16" ht="78.75" x14ac:dyDescent="0.25">
      <c r="B265" s="2">
        <v>154</v>
      </c>
      <c r="C265" s="2" t="str">
        <f>"NOS-73/15"</f>
        <v>NOS-73/15</v>
      </c>
      <c r="D265" s="2" t="s">
        <v>16</v>
      </c>
      <c r="E265" s="2" t="s">
        <v>17</v>
      </c>
      <c r="F265" s="2" t="s">
        <v>546</v>
      </c>
      <c r="G265" s="2" t="str">
        <f>"2015-2339"</f>
        <v>2015-2339</v>
      </c>
      <c r="H265" s="2" t="str">
        <f>"2015/S 003-0032485"</f>
        <v>2015/S 003-0032485</v>
      </c>
      <c r="I265" s="2" t="s">
        <v>19</v>
      </c>
      <c r="J265" s="3" t="str">
        <f>"10.000.000,00"</f>
        <v>10.000.000,00</v>
      </c>
      <c r="K265" s="2" t="s">
        <v>412</v>
      </c>
      <c r="L265" s="2" t="s">
        <v>413</v>
      </c>
      <c r="M265" s="2" t="s">
        <v>130</v>
      </c>
      <c r="N265" s="2" t="s">
        <v>23</v>
      </c>
      <c r="O265" s="3" t="str">
        <f>"1.059.899,60"</f>
        <v>1.059.899,60</v>
      </c>
      <c r="P265" s="4"/>
    </row>
    <row r="266" spans="2:16" ht="173.25" x14ac:dyDescent="0.25">
      <c r="B266" s="2">
        <v>155</v>
      </c>
      <c r="C266" s="2" t="str">
        <f>"NOS-123/15"</f>
        <v>NOS-123/15</v>
      </c>
      <c r="D266" s="2" t="s">
        <v>547</v>
      </c>
      <c r="E266" s="2" t="s">
        <v>17</v>
      </c>
      <c r="F266" s="2" t="s">
        <v>548</v>
      </c>
      <c r="G266" s="2" t="str">
        <f>"2015-2301"</f>
        <v>2015-2301</v>
      </c>
      <c r="H266" s="2" t="str">
        <f>"2015/S 003-0037384"</f>
        <v>2015/S 003-0037384</v>
      </c>
      <c r="I266" s="2" t="s">
        <v>19</v>
      </c>
      <c r="J266" s="3" t="str">
        <f>"2.100.000,00"</f>
        <v>2.100.000,00</v>
      </c>
      <c r="K266" s="2" t="s">
        <v>549</v>
      </c>
      <c r="L266" s="2" t="s">
        <v>550</v>
      </c>
      <c r="M266" s="2" t="s">
        <v>551</v>
      </c>
      <c r="N266" s="2" t="s">
        <v>23</v>
      </c>
      <c r="O266" s="3" t="str">
        <f>"0,00"</f>
        <v>0,00</v>
      </c>
      <c r="P266" s="4"/>
    </row>
    <row r="267" spans="2:16" ht="47.25" x14ac:dyDescent="0.25">
      <c r="B267" s="2">
        <v>156</v>
      </c>
      <c r="C267" s="2" t="str">
        <f>"NOS-74/15"</f>
        <v>NOS-74/15</v>
      </c>
      <c r="D267" s="2" t="s">
        <v>16</v>
      </c>
      <c r="E267" s="2" t="s">
        <v>17</v>
      </c>
      <c r="F267" s="2" t="s">
        <v>552</v>
      </c>
      <c r="G267" s="2" t="str">
        <f>"2015-2302"</f>
        <v>2015-2302</v>
      </c>
      <c r="H267" s="2" t="str">
        <f>"2015/S 003-0032497"</f>
        <v>2015/S 003-0032497</v>
      </c>
      <c r="I267" s="2" t="s">
        <v>19</v>
      </c>
      <c r="J267" s="3" t="str">
        <f>"1.500.000,00"</f>
        <v>1.500.000,00</v>
      </c>
      <c r="K267" s="2" t="s">
        <v>412</v>
      </c>
      <c r="L267" s="2" t="s">
        <v>413</v>
      </c>
      <c r="M267" s="2" t="s">
        <v>553</v>
      </c>
      <c r="N267" s="2" t="s">
        <v>23</v>
      </c>
      <c r="O267" s="3" t="str">
        <f>"106.620,00"</f>
        <v>106.620,00</v>
      </c>
      <c r="P267" s="4"/>
    </row>
    <row r="268" spans="2:16" ht="31.5" x14ac:dyDescent="0.25">
      <c r="B268" s="2">
        <v>157</v>
      </c>
      <c r="C268" s="2" t="str">
        <f>"NOS-33/15"</f>
        <v>NOS-33/15</v>
      </c>
      <c r="D268" s="2" t="s">
        <v>16</v>
      </c>
      <c r="E268" s="2" t="s">
        <v>17</v>
      </c>
      <c r="F268" s="2" t="s">
        <v>554</v>
      </c>
      <c r="G268" s="2" t="str">
        <f>"2015-2218"</f>
        <v>2015-2218</v>
      </c>
      <c r="H268" s="2" t="str">
        <f>"2015/S 003-0027139"</f>
        <v>2015/S 003-0027139</v>
      </c>
      <c r="I268" s="2" t="s">
        <v>19</v>
      </c>
      <c r="J268" s="3" t="str">
        <f>"550.000,00"</f>
        <v>550.000,00</v>
      </c>
      <c r="K268" s="2" t="s">
        <v>203</v>
      </c>
      <c r="L268" s="2" t="s">
        <v>204</v>
      </c>
      <c r="M268" s="2" t="s">
        <v>555</v>
      </c>
      <c r="N268" s="2" t="s">
        <v>23</v>
      </c>
      <c r="O268" s="3" t="str">
        <f>"73.080,00"</f>
        <v>73.080,00</v>
      </c>
      <c r="P268" s="4"/>
    </row>
    <row r="269" spans="2:16" ht="47.25" x14ac:dyDescent="0.25">
      <c r="B269" s="36">
        <v>158</v>
      </c>
      <c r="C269" s="36" t="str">
        <f>"NOS-103/15"</f>
        <v>NOS-103/15</v>
      </c>
      <c r="D269" s="36" t="s">
        <v>556</v>
      </c>
      <c r="E269" s="36" t="s">
        <v>17</v>
      </c>
      <c r="F269" s="36" t="s">
        <v>557</v>
      </c>
      <c r="G269" s="36" t="str">
        <f>"2015-1946"</f>
        <v>2015-1946</v>
      </c>
      <c r="H269" s="36" t="str">
        <f>"2015/S 003-0034764"</f>
        <v>2015/S 003-0034764</v>
      </c>
      <c r="I269" s="36" t="s">
        <v>19</v>
      </c>
      <c r="J269" s="38" t="str">
        <f>"1.488.000,00"</f>
        <v>1.488.000,00</v>
      </c>
      <c r="K269" s="36" t="s">
        <v>155</v>
      </c>
      <c r="L269" s="36" t="s">
        <v>558</v>
      </c>
      <c r="M269" s="6" t="s">
        <v>559</v>
      </c>
      <c r="N269" s="36" t="s">
        <v>23</v>
      </c>
      <c r="O269" s="38" t="str">
        <f>"146.686,80"</f>
        <v>146.686,80</v>
      </c>
      <c r="P269" s="50"/>
    </row>
    <row r="270" spans="2:16" ht="47.25" x14ac:dyDescent="0.25">
      <c r="B270" s="48"/>
      <c r="C270" s="48"/>
      <c r="D270" s="48"/>
      <c r="E270" s="48"/>
      <c r="F270" s="48"/>
      <c r="G270" s="48"/>
      <c r="H270" s="48"/>
      <c r="I270" s="48"/>
      <c r="J270" s="49"/>
      <c r="K270" s="48"/>
      <c r="L270" s="48"/>
      <c r="M270" s="7" t="s">
        <v>560</v>
      </c>
      <c r="N270" s="48"/>
      <c r="O270" s="49"/>
      <c r="P270" s="51"/>
    </row>
    <row r="271" spans="2:16" ht="31.5" x14ac:dyDescent="0.25">
      <c r="B271" s="37"/>
      <c r="C271" s="37"/>
      <c r="D271" s="37"/>
      <c r="E271" s="37"/>
      <c r="F271" s="37"/>
      <c r="G271" s="37"/>
      <c r="H271" s="37"/>
      <c r="I271" s="37"/>
      <c r="J271" s="39"/>
      <c r="K271" s="37"/>
      <c r="L271" s="37"/>
      <c r="M271" s="8" t="s">
        <v>561</v>
      </c>
      <c r="N271" s="37"/>
      <c r="O271" s="39"/>
      <c r="P271" s="52"/>
    </row>
    <row r="272" spans="2:16" ht="47.25" x14ac:dyDescent="0.25">
      <c r="B272" s="36">
        <v>159</v>
      </c>
      <c r="C272" s="36" t="str">
        <f>"NOS-83-A/15"</f>
        <v>NOS-83-A/15</v>
      </c>
      <c r="D272" s="36" t="s">
        <v>242</v>
      </c>
      <c r="E272" s="36" t="s">
        <v>17</v>
      </c>
      <c r="F272" s="36" t="s">
        <v>562</v>
      </c>
      <c r="G272" s="36" t="str">
        <f>"2015-1869"</f>
        <v>2015-1869</v>
      </c>
      <c r="H272" s="36" t="str">
        <f>"2015/S 003-0033478"</f>
        <v>2015/S 003-0033478</v>
      </c>
      <c r="I272" s="36" t="s">
        <v>19</v>
      </c>
      <c r="J272" s="38" t="str">
        <f>"1.310.000,00"</f>
        <v>1.310.000,00</v>
      </c>
      <c r="K272" s="36" t="s">
        <v>232</v>
      </c>
      <c r="L272" s="36" t="s">
        <v>233</v>
      </c>
      <c r="M272" s="6" t="s">
        <v>75</v>
      </c>
      <c r="N272" s="36" t="s">
        <v>23</v>
      </c>
      <c r="O272" s="38" t="str">
        <f>"176.288,00"</f>
        <v>176.288,00</v>
      </c>
      <c r="P272" s="50"/>
    </row>
    <row r="273" spans="2:16" ht="31.5" x14ac:dyDescent="0.25">
      <c r="B273" s="48"/>
      <c r="C273" s="48"/>
      <c r="D273" s="48"/>
      <c r="E273" s="48"/>
      <c r="F273" s="48"/>
      <c r="G273" s="48"/>
      <c r="H273" s="48"/>
      <c r="I273" s="48"/>
      <c r="J273" s="49"/>
      <c r="K273" s="48"/>
      <c r="L273" s="48"/>
      <c r="M273" s="7" t="s">
        <v>563</v>
      </c>
      <c r="N273" s="48"/>
      <c r="O273" s="49"/>
      <c r="P273" s="51"/>
    </row>
    <row r="274" spans="2:16" ht="31.5" x14ac:dyDescent="0.25">
      <c r="B274" s="48"/>
      <c r="C274" s="48"/>
      <c r="D274" s="48"/>
      <c r="E274" s="48"/>
      <c r="F274" s="48"/>
      <c r="G274" s="48"/>
      <c r="H274" s="48"/>
      <c r="I274" s="48"/>
      <c r="J274" s="49"/>
      <c r="K274" s="48"/>
      <c r="L274" s="48"/>
      <c r="M274" s="7" t="s">
        <v>564</v>
      </c>
      <c r="N274" s="48"/>
      <c r="O274" s="49"/>
      <c r="P274" s="51"/>
    </row>
    <row r="275" spans="2:16" ht="15.75" x14ac:dyDescent="0.25">
      <c r="B275" s="48"/>
      <c r="C275" s="48"/>
      <c r="D275" s="48"/>
      <c r="E275" s="48"/>
      <c r="F275" s="48"/>
      <c r="G275" s="48"/>
      <c r="H275" s="48"/>
      <c r="I275" s="48"/>
      <c r="J275" s="49"/>
      <c r="K275" s="48"/>
      <c r="L275" s="48"/>
      <c r="M275" s="7" t="s">
        <v>61</v>
      </c>
      <c r="N275" s="48"/>
      <c r="O275" s="49"/>
      <c r="P275" s="51"/>
    </row>
    <row r="276" spans="2:16" ht="31.5" x14ac:dyDescent="0.25">
      <c r="B276" s="37"/>
      <c r="C276" s="37"/>
      <c r="D276" s="37"/>
      <c r="E276" s="37"/>
      <c r="F276" s="37"/>
      <c r="G276" s="37"/>
      <c r="H276" s="37"/>
      <c r="I276" s="37"/>
      <c r="J276" s="39"/>
      <c r="K276" s="37"/>
      <c r="L276" s="37"/>
      <c r="M276" s="8" t="s">
        <v>565</v>
      </c>
      <c r="N276" s="37"/>
      <c r="O276" s="39"/>
      <c r="P276" s="52"/>
    </row>
    <row r="277" spans="2:16" ht="63" x14ac:dyDescent="0.25">
      <c r="B277" s="2">
        <v>160</v>
      </c>
      <c r="C277" s="2" t="str">
        <f>"NOS-61/15"</f>
        <v>NOS-61/15</v>
      </c>
      <c r="D277" s="2" t="s">
        <v>16</v>
      </c>
      <c r="E277" s="2" t="s">
        <v>17</v>
      </c>
      <c r="F277" s="2" t="s">
        <v>566</v>
      </c>
      <c r="G277" s="2" t="str">
        <f>"2015-2216"</f>
        <v>2015-2216</v>
      </c>
      <c r="H277" s="2" t="str">
        <f>"2015/S 003-0029024"</f>
        <v>2015/S 003-0029024</v>
      </c>
      <c r="I277" s="2" t="s">
        <v>19</v>
      </c>
      <c r="J277" s="3" t="str">
        <f>"700.000,00"</f>
        <v>700.000,00</v>
      </c>
      <c r="K277" s="2" t="s">
        <v>225</v>
      </c>
      <c r="L277" s="2" t="s">
        <v>226</v>
      </c>
      <c r="M277" s="2" t="s">
        <v>22</v>
      </c>
      <c r="N277" s="2" t="s">
        <v>23</v>
      </c>
      <c r="O277" s="3" t="str">
        <f>"131.690,00"</f>
        <v>131.690,00</v>
      </c>
      <c r="P277" s="4"/>
    </row>
    <row r="278" spans="2:16" ht="31.5" x14ac:dyDescent="0.25">
      <c r="B278" s="36">
        <v>161</v>
      </c>
      <c r="C278" s="36" t="str">
        <f>"NOS-100-A/15"</f>
        <v>NOS-100-A/15</v>
      </c>
      <c r="D278" s="36" t="s">
        <v>242</v>
      </c>
      <c r="E278" s="36" t="s">
        <v>17</v>
      </c>
      <c r="F278" s="36" t="s">
        <v>567</v>
      </c>
      <c r="G278" s="36" t="str">
        <f>"2015-1651"</f>
        <v>2015-1651</v>
      </c>
      <c r="H278" s="36" t="str">
        <f>"2015/S 003-0034979"</f>
        <v>2015/S 003-0034979</v>
      </c>
      <c r="I278" s="36" t="s">
        <v>19</v>
      </c>
      <c r="J278" s="38" t="str">
        <f>"1.102.000,00"</f>
        <v>1.102.000,00</v>
      </c>
      <c r="K278" s="36" t="s">
        <v>516</v>
      </c>
      <c r="L278" s="36" t="s">
        <v>517</v>
      </c>
      <c r="M278" s="6" t="s">
        <v>269</v>
      </c>
      <c r="N278" s="36" t="s">
        <v>23</v>
      </c>
      <c r="O278" s="38" t="str">
        <f>"86.195,89"</f>
        <v>86.195,89</v>
      </c>
      <c r="P278" s="50"/>
    </row>
    <row r="279" spans="2:16" ht="31.5" x14ac:dyDescent="0.25">
      <c r="B279" s="48"/>
      <c r="C279" s="48"/>
      <c r="D279" s="48"/>
      <c r="E279" s="48"/>
      <c r="F279" s="48"/>
      <c r="G279" s="48"/>
      <c r="H279" s="48"/>
      <c r="I279" s="48"/>
      <c r="J279" s="49"/>
      <c r="K279" s="48"/>
      <c r="L279" s="48"/>
      <c r="M279" s="7" t="s">
        <v>565</v>
      </c>
      <c r="N279" s="48"/>
      <c r="O279" s="49"/>
      <c r="P279" s="51"/>
    </row>
    <row r="280" spans="2:16" ht="47.25" x14ac:dyDescent="0.25">
      <c r="B280" s="37"/>
      <c r="C280" s="37"/>
      <c r="D280" s="37"/>
      <c r="E280" s="37"/>
      <c r="F280" s="37"/>
      <c r="G280" s="37"/>
      <c r="H280" s="37"/>
      <c r="I280" s="37"/>
      <c r="J280" s="39"/>
      <c r="K280" s="37"/>
      <c r="L280" s="37"/>
      <c r="M280" s="8" t="s">
        <v>568</v>
      </c>
      <c r="N280" s="37"/>
      <c r="O280" s="39"/>
      <c r="P280" s="52"/>
    </row>
    <row r="281" spans="2:16" ht="47.25" x14ac:dyDescent="0.25">
      <c r="B281" s="2">
        <v>162</v>
      </c>
      <c r="C281" s="2" t="str">
        <f>"NOS-51/15"</f>
        <v>NOS-51/15</v>
      </c>
      <c r="D281" s="2" t="s">
        <v>85</v>
      </c>
      <c r="E281" s="2" t="s">
        <v>17</v>
      </c>
      <c r="F281" s="2" t="s">
        <v>569</v>
      </c>
      <c r="G281" s="2" t="str">
        <f>"2015-1449"</f>
        <v>2015-1449</v>
      </c>
      <c r="H281" s="2" t="str">
        <f>"2015/S 003-0027040"</f>
        <v>2015/S 003-0027040</v>
      </c>
      <c r="I281" s="2" t="s">
        <v>19</v>
      </c>
      <c r="J281" s="3" t="str">
        <f>"4.000.000,00"</f>
        <v>4.000.000,00</v>
      </c>
      <c r="K281" s="2" t="s">
        <v>570</v>
      </c>
      <c r="L281" s="2" t="s">
        <v>571</v>
      </c>
      <c r="M281" s="2" t="s">
        <v>572</v>
      </c>
      <c r="N281" s="2" t="s">
        <v>23</v>
      </c>
      <c r="O281" s="3" t="str">
        <f>"1.431.475,00"</f>
        <v>1.431.475,00</v>
      </c>
      <c r="P281" s="4"/>
    </row>
    <row r="282" spans="2:16" ht="47.25" x14ac:dyDescent="0.25">
      <c r="B282" s="2">
        <v>163</v>
      </c>
      <c r="C282" s="2" t="str">
        <f>"NOS-102/15"</f>
        <v>NOS-102/15</v>
      </c>
      <c r="D282" s="2" t="s">
        <v>28</v>
      </c>
      <c r="E282" s="2" t="s">
        <v>17</v>
      </c>
      <c r="F282" s="2" t="s">
        <v>573</v>
      </c>
      <c r="G282" s="2" t="str">
        <f>"2015-2229"</f>
        <v>2015-2229</v>
      </c>
      <c r="H282" s="2" t="str">
        <f>"2015/S 003-0033310"</f>
        <v>2015/S 003-0033310</v>
      </c>
      <c r="I282" s="2" t="s">
        <v>19</v>
      </c>
      <c r="J282" s="3" t="str">
        <f>"3.500.000,00"</f>
        <v>3.500.000,00</v>
      </c>
      <c r="K282" s="2" t="s">
        <v>155</v>
      </c>
      <c r="L282" s="2" t="s">
        <v>156</v>
      </c>
      <c r="M282" s="2" t="s">
        <v>574</v>
      </c>
      <c r="N282" s="2" t="s">
        <v>23</v>
      </c>
      <c r="O282" s="3" t="str">
        <f>"217.160,00"</f>
        <v>217.160,00</v>
      </c>
      <c r="P282" s="4"/>
    </row>
    <row r="283" spans="2:16" ht="63" x14ac:dyDescent="0.25">
      <c r="B283" s="2">
        <v>164</v>
      </c>
      <c r="C283" s="2" t="str">
        <f>"NOS-71/15"</f>
        <v>NOS-71/15</v>
      </c>
      <c r="D283" s="2" t="s">
        <v>16</v>
      </c>
      <c r="E283" s="2" t="s">
        <v>17</v>
      </c>
      <c r="F283" s="2" t="s">
        <v>575</v>
      </c>
      <c r="G283" s="2" t="str">
        <f>"2015-2233"</f>
        <v>2015-2233</v>
      </c>
      <c r="H283" s="2" t="str">
        <f>"2015/S 003-0034271"</f>
        <v>2015/S 003-0034271</v>
      </c>
      <c r="I283" s="2" t="s">
        <v>19</v>
      </c>
      <c r="J283" s="3" t="str">
        <f>"1.200.000,00"</f>
        <v>1.200.000,00</v>
      </c>
      <c r="K283" s="2" t="s">
        <v>412</v>
      </c>
      <c r="L283" s="2" t="s">
        <v>413</v>
      </c>
      <c r="M283" s="2" t="s">
        <v>576</v>
      </c>
      <c r="N283" s="2" t="s">
        <v>23</v>
      </c>
      <c r="O283" s="3" t="str">
        <f>"129.112,74"</f>
        <v>129.112,74</v>
      </c>
      <c r="P283" s="4"/>
    </row>
    <row r="284" spans="2:16" ht="31.5" x14ac:dyDescent="0.25">
      <c r="B284" s="2">
        <v>165</v>
      </c>
      <c r="C284" s="2" t="str">
        <f>"NOS-132-B/15"</f>
        <v>NOS-132-B/15</v>
      </c>
      <c r="D284" s="2" t="s">
        <v>16</v>
      </c>
      <c r="E284" s="2" t="s">
        <v>17</v>
      </c>
      <c r="F284" s="2" t="s">
        <v>577</v>
      </c>
      <c r="G284" s="2" t="str">
        <f>"2015-2487"</f>
        <v>2015-2487</v>
      </c>
      <c r="H284" s="2" t="s">
        <v>1541</v>
      </c>
      <c r="I284" s="2" t="s">
        <v>19</v>
      </c>
      <c r="J284" s="3" t="str">
        <f>"500.000,00"</f>
        <v>500.000,00</v>
      </c>
      <c r="K284" s="2" t="s">
        <v>401</v>
      </c>
      <c r="L284" s="2" t="s">
        <v>402</v>
      </c>
      <c r="M284" s="2" t="s">
        <v>50</v>
      </c>
      <c r="N284" s="2" t="s">
        <v>23</v>
      </c>
      <c r="O284" s="3" t="str">
        <f>"0,00"</f>
        <v>0,00</v>
      </c>
      <c r="P284" s="4"/>
    </row>
    <row r="285" spans="2:16" ht="47.25" x14ac:dyDescent="0.25">
      <c r="B285" s="2">
        <v>166</v>
      </c>
      <c r="C285" s="2" t="str">
        <f>"NOS-137-B/15"</f>
        <v>NOS-137-B/15</v>
      </c>
      <c r="D285" s="2" t="s">
        <v>16</v>
      </c>
      <c r="E285" s="2" t="s">
        <v>17</v>
      </c>
      <c r="F285" s="2" t="s">
        <v>578</v>
      </c>
      <c r="G285" s="2" t="str">
        <f>"2015-2559"</f>
        <v>2015-2559</v>
      </c>
      <c r="H285" s="2" t="s">
        <v>1543</v>
      </c>
      <c r="I285" s="2" t="s">
        <v>19</v>
      </c>
      <c r="J285" s="3" t="str">
        <f>"450.000,00"</f>
        <v>450.000,00</v>
      </c>
      <c r="K285" s="2" t="s">
        <v>390</v>
      </c>
      <c r="L285" s="2" t="s">
        <v>391</v>
      </c>
      <c r="M285" s="2" t="s">
        <v>579</v>
      </c>
      <c r="N285" s="2" t="s">
        <v>23</v>
      </c>
      <c r="O285" s="3" t="str">
        <f>"0,00"</f>
        <v>0,00</v>
      </c>
      <c r="P285" s="4"/>
    </row>
    <row r="286" spans="2:16" ht="110.25" x14ac:dyDescent="0.25">
      <c r="B286" s="2">
        <v>167</v>
      </c>
      <c r="C286" s="2" t="str">
        <f>"NOS-77-B/15"</f>
        <v>NOS-77-B/15</v>
      </c>
      <c r="D286" s="2" t="s">
        <v>16</v>
      </c>
      <c r="E286" s="2" t="s">
        <v>17</v>
      </c>
      <c r="F286" s="2" t="s">
        <v>580</v>
      </c>
      <c r="G286" s="2" t="str">
        <f>"2015-268"</f>
        <v>2015-268</v>
      </c>
      <c r="H286" s="2" t="str">
        <f>"2015/S 003-0029079"</f>
        <v>2015/S 003-0029079</v>
      </c>
      <c r="I286" s="2" t="s">
        <v>19</v>
      </c>
      <c r="J286" s="3" t="str">
        <f>"200.000,00"</f>
        <v>200.000,00</v>
      </c>
      <c r="K286" s="2" t="s">
        <v>440</v>
      </c>
      <c r="L286" s="2" t="s">
        <v>441</v>
      </c>
      <c r="M286" s="2" t="s">
        <v>581</v>
      </c>
      <c r="N286" s="2" t="s">
        <v>23</v>
      </c>
      <c r="O286" s="3" t="str">
        <f>"102.269,81"</f>
        <v>102.269,81</v>
      </c>
      <c r="P286" s="4"/>
    </row>
    <row r="287" spans="2:16" ht="126" x14ac:dyDescent="0.25">
      <c r="B287" s="2">
        <v>168</v>
      </c>
      <c r="C287" s="2" t="str">
        <f>"NOS-111-B/15"</f>
        <v>NOS-111-B/15</v>
      </c>
      <c r="D287" s="2" t="s">
        <v>16</v>
      </c>
      <c r="E287" s="2" t="s">
        <v>17</v>
      </c>
      <c r="F287" s="2" t="s">
        <v>582</v>
      </c>
      <c r="G287" s="2" t="str">
        <f>"2015-1431"</f>
        <v>2015-1431</v>
      </c>
      <c r="H287" s="2" t="str">
        <f>"2015/S 003-0038594"</f>
        <v>2015/S 003-0038594</v>
      </c>
      <c r="I287" s="2" t="s">
        <v>19</v>
      </c>
      <c r="J287" s="3" t="str">
        <f>"400.000,00"</f>
        <v>400.000,00</v>
      </c>
      <c r="K287" s="2" t="s">
        <v>443</v>
      </c>
      <c r="L287" s="2" t="s">
        <v>444</v>
      </c>
      <c r="M287" s="2" t="s">
        <v>445</v>
      </c>
      <c r="N287" s="2" t="s">
        <v>23</v>
      </c>
      <c r="O287" s="3" t="str">
        <f>"0,00"</f>
        <v>0,00</v>
      </c>
      <c r="P287" s="4"/>
    </row>
    <row r="288" spans="2:16" ht="78.75" x14ac:dyDescent="0.25">
      <c r="B288" s="2">
        <v>169</v>
      </c>
      <c r="C288" s="2" t="str">
        <f>"NOS-105-B/15"</f>
        <v>NOS-105-B/15</v>
      </c>
      <c r="D288" s="2" t="s">
        <v>16</v>
      </c>
      <c r="E288" s="2" t="s">
        <v>17</v>
      </c>
      <c r="F288" s="2" t="s">
        <v>583</v>
      </c>
      <c r="G288" s="2" t="str">
        <f>"2015-969"</f>
        <v>2015-969</v>
      </c>
      <c r="H288" s="2" t="str">
        <f>"2015/S 003-0033734"</f>
        <v>2015/S 003-0033734</v>
      </c>
      <c r="I288" s="2" t="s">
        <v>19</v>
      </c>
      <c r="J288" s="3" t="str">
        <f>"2.455.000,00"</f>
        <v>2.455.000,00</v>
      </c>
      <c r="K288" s="2" t="s">
        <v>516</v>
      </c>
      <c r="L288" s="2" t="s">
        <v>517</v>
      </c>
      <c r="M288" s="2" t="s">
        <v>62</v>
      </c>
      <c r="N288" s="2" t="s">
        <v>23</v>
      </c>
      <c r="O288" s="3" t="str">
        <f>"45.193,66"</f>
        <v>45.193,66</v>
      </c>
      <c r="P288" s="4"/>
    </row>
    <row r="289" spans="2:16" ht="78.75" x14ac:dyDescent="0.25">
      <c r="B289" s="2">
        <v>170</v>
      </c>
      <c r="C289" s="2" t="str">
        <f>"NOS-114-B/15"</f>
        <v>NOS-114-B/15</v>
      </c>
      <c r="D289" s="2" t="s">
        <v>16</v>
      </c>
      <c r="E289" s="2" t="s">
        <v>17</v>
      </c>
      <c r="F289" s="2" t="s">
        <v>584</v>
      </c>
      <c r="G289" s="2" t="str">
        <f>"2015-2283"</f>
        <v>2015-2283</v>
      </c>
      <c r="H289" s="2" t="str">
        <f>"2015/S 003-0038564"</f>
        <v>2015/S 003-0038564</v>
      </c>
      <c r="I289" s="2" t="s">
        <v>19</v>
      </c>
      <c r="J289" s="3" t="str">
        <f>"1.700.000,00"</f>
        <v>1.700.000,00</v>
      </c>
      <c r="K289" s="2" t="s">
        <v>460</v>
      </c>
      <c r="L289" s="2" t="s">
        <v>461</v>
      </c>
      <c r="M289" s="2" t="s">
        <v>62</v>
      </c>
      <c r="N289" s="2" t="s">
        <v>23</v>
      </c>
      <c r="O289" s="3" t="str">
        <f>"6.521,69"</f>
        <v>6.521,69</v>
      </c>
      <c r="P289" s="4"/>
    </row>
    <row r="290" spans="2:16" ht="78.75" x14ac:dyDescent="0.25">
      <c r="B290" s="2">
        <v>171</v>
      </c>
      <c r="C290" s="2" t="str">
        <f>"NOS-99-B/15"</f>
        <v>NOS-99-B/15</v>
      </c>
      <c r="D290" s="2" t="s">
        <v>16</v>
      </c>
      <c r="E290" s="2" t="s">
        <v>17</v>
      </c>
      <c r="F290" s="2" t="s">
        <v>585</v>
      </c>
      <c r="G290" s="2" t="str">
        <f>"2015-2236"</f>
        <v>2015-2236</v>
      </c>
      <c r="H290" s="2" t="str">
        <f>"2015/S  003-0030784"</f>
        <v>2015/S  003-0030784</v>
      </c>
      <c r="I290" s="2" t="s">
        <v>19</v>
      </c>
      <c r="J290" s="3" t="str">
        <f>"1.000.000,00"</f>
        <v>1.000.000,00</v>
      </c>
      <c r="K290" s="2" t="s">
        <v>155</v>
      </c>
      <c r="L290" s="2" t="s">
        <v>156</v>
      </c>
      <c r="M290" s="2" t="s">
        <v>62</v>
      </c>
      <c r="N290" s="2" t="s">
        <v>23</v>
      </c>
      <c r="O290" s="3" t="str">
        <f>"78.076,12"</f>
        <v>78.076,12</v>
      </c>
      <c r="P290" s="4"/>
    </row>
    <row r="291" spans="2:16" ht="110.25" x14ac:dyDescent="0.25">
      <c r="B291" s="2">
        <v>172</v>
      </c>
      <c r="C291" s="2" t="str">
        <f>"NOS-75-F/15"</f>
        <v>NOS-75-F/15</v>
      </c>
      <c r="D291" s="2" t="s">
        <v>214</v>
      </c>
      <c r="E291" s="2" t="s">
        <v>17</v>
      </c>
      <c r="F291" s="2" t="s">
        <v>586</v>
      </c>
      <c r="G291" s="2" t="str">
        <f>"2015-84"</f>
        <v>2015-84</v>
      </c>
      <c r="H291" s="2" t="str">
        <f>"2015/S 003-0038323"</f>
        <v>2015/S 003-0038323</v>
      </c>
      <c r="I291" s="2" t="s">
        <v>19</v>
      </c>
      <c r="J291" s="3" t="str">
        <f>"1.426.210,00"</f>
        <v>1.426.210,00</v>
      </c>
      <c r="K291" s="2" t="s">
        <v>216</v>
      </c>
      <c r="L291" s="2" t="s">
        <v>217</v>
      </c>
      <c r="M291" s="2" t="s">
        <v>218</v>
      </c>
      <c r="N291" s="2" t="s">
        <v>23</v>
      </c>
      <c r="O291" s="3" t="str">
        <f>"396.324,00"</f>
        <v>396.324,00</v>
      </c>
      <c r="P291" s="4"/>
    </row>
    <row r="292" spans="2:16" ht="47.25" x14ac:dyDescent="0.25">
      <c r="B292" s="2">
        <v>173</v>
      </c>
      <c r="C292" s="2" t="str">
        <f>"NOS-82-G/15"</f>
        <v>NOS-82-G/15</v>
      </c>
      <c r="D292" s="2" t="s">
        <v>16</v>
      </c>
      <c r="E292" s="2" t="s">
        <v>17</v>
      </c>
      <c r="F292" s="2" t="s">
        <v>587</v>
      </c>
      <c r="G292" s="2" t="str">
        <f>"2015-2197"</f>
        <v>2015-2197</v>
      </c>
      <c r="H292" s="2" t="str">
        <f>"2015/S 003-0030364"</f>
        <v>2015/S 003-0030364</v>
      </c>
      <c r="I292" s="2" t="s">
        <v>19</v>
      </c>
      <c r="J292" s="3" t="str">
        <f>"2.000.000,00"</f>
        <v>2.000.000,00</v>
      </c>
      <c r="K292" s="2" t="s">
        <v>232</v>
      </c>
      <c r="L292" s="2" t="s">
        <v>233</v>
      </c>
      <c r="M292" s="2" t="s">
        <v>234</v>
      </c>
      <c r="N292" s="2" t="s">
        <v>23</v>
      </c>
      <c r="O292" s="3" t="str">
        <f>"278.555,00"</f>
        <v>278.555,00</v>
      </c>
      <c r="P292" s="4"/>
    </row>
    <row r="293" spans="2:16" ht="63" x14ac:dyDescent="0.25">
      <c r="B293" s="2">
        <v>174</v>
      </c>
      <c r="C293" s="2" t="str">
        <f>"NOS-46-B/15"</f>
        <v>NOS-46-B/15</v>
      </c>
      <c r="D293" s="2" t="s">
        <v>16</v>
      </c>
      <c r="E293" s="2" t="s">
        <v>17</v>
      </c>
      <c r="F293" s="2" t="s">
        <v>588</v>
      </c>
      <c r="G293" s="2" t="str">
        <f>"2015-46"</f>
        <v>2015-46</v>
      </c>
      <c r="H293" s="2" t="str">
        <f>"2015/S 003-0030873"</f>
        <v>2015/S 003-0030873</v>
      </c>
      <c r="I293" s="2" t="s">
        <v>19</v>
      </c>
      <c r="J293" s="3" t="str">
        <f>"12.500.000,00"</f>
        <v>12.500.000,00</v>
      </c>
      <c r="K293" s="2" t="s">
        <v>225</v>
      </c>
      <c r="L293" s="2" t="s">
        <v>226</v>
      </c>
      <c r="M293" s="2" t="s">
        <v>329</v>
      </c>
      <c r="N293" s="2" t="s">
        <v>23</v>
      </c>
      <c r="O293" s="3" t="str">
        <f>"3.121.242,40"</f>
        <v>3.121.242,40</v>
      </c>
      <c r="P293" s="4"/>
    </row>
    <row r="294" spans="2:16" ht="47.25" x14ac:dyDescent="0.25">
      <c r="B294" s="2">
        <v>175</v>
      </c>
      <c r="C294" s="2" t="str">
        <f>"NOS-28-B/15"</f>
        <v>NOS-28-B/15</v>
      </c>
      <c r="D294" s="2" t="s">
        <v>16</v>
      </c>
      <c r="E294" s="2" t="s">
        <v>17</v>
      </c>
      <c r="F294" s="2" t="s">
        <v>589</v>
      </c>
      <c r="G294" s="2" t="str">
        <f>"2015-49"</f>
        <v>2015-49</v>
      </c>
      <c r="H294" s="2" t="str">
        <f>"2015/S 003-0024628"</f>
        <v>2015/S 003-0024628</v>
      </c>
      <c r="I294" s="2" t="s">
        <v>19</v>
      </c>
      <c r="J294" s="3" t="str">
        <f>"500.000,00"</f>
        <v>500.000,00</v>
      </c>
      <c r="K294" s="2" t="s">
        <v>199</v>
      </c>
      <c r="L294" s="2" t="s">
        <v>200</v>
      </c>
      <c r="M294" s="2" t="s">
        <v>590</v>
      </c>
      <c r="N294" s="2" t="s">
        <v>23</v>
      </c>
      <c r="O294" s="3" t="str">
        <f>"84.075,00"</f>
        <v>84.075,00</v>
      </c>
      <c r="P294" s="4"/>
    </row>
    <row r="295" spans="2:16" ht="63" x14ac:dyDescent="0.25">
      <c r="B295" s="2">
        <v>176</v>
      </c>
      <c r="C295" s="2" t="str">
        <f>"NOS-59-D/15"</f>
        <v>NOS-59-D/15</v>
      </c>
      <c r="D295" s="2" t="s">
        <v>16</v>
      </c>
      <c r="E295" s="2" t="s">
        <v>17</v>
      </c>
      <c r="F295" s="2" t="s">
        <v>591</v>
      </c>
      <c r="G295" s="2" t="str">
        <f>"2015-1806"</f>
        <v>2015-1806</v>
      </c>
      <c r="H295" s="2" t="str">
        <f>"2015/S 003-0027603"</f>
        <v>2015/S 003-0027603</v>
      </c>
      <c r="I295" s="2" t="s">
        <v>19</v>
      </c>
      <c r="J295" s="3" t="str">
        <f>"100.000,00"</f>
        <v>100.000,00</v>
      </c>
      <c r="K295" s="2" t="s">
        <v>570</v>
      </c>
      <c r="L295" s="2" t="s">
        <v>571</v>
      </c>
      <c r="M295" s="2" t="s">
        <v>592</v>
      </c>
      <c r="N295" s="2" t="s">
        <v>23</v>
      </c>
      <c r="O295" s="3" t="str">
        <f>"67.400,00"</f>
        <v>67.400,00</v>
      </c>
      <c r="P295" s="4"/>
    </row>
    <row r="296" spans="2:16" ht="31.5" x14ac:dyDescent="0.25">
      <c r="B296" s="2">
        <v>177</v>
      </c>
      <c r="C296" s="2" t="str">
        <f>"NOS-100-A-ZGH/14"</f>
        <v>NOS-100-A-ZGH/14</v>
      </c>
      <c r="D296" s="2" t="s">
        <v>16</v>
      </c>
      <c r="E296" s="2" t="s">
        <v>17</v>
      </c>
      <c r="F296" s="2" t="s">
        <v>593</v>
      </c>
      <c r="G296" s="2" t="str">
        <f>"2014-56"</f>
        <v>2014-56</v>
      </c>
      <c r="H296" s="2" t="str">
        <f>" 2015/S 003-0007985"</f>
        <v xml:space="preserve"> 2015/S 003-0007985</v>
      </c>
      <c r="I296" s="2" t="s">
        <v>19</v>
      </c>
      <c r="J296" s="3" t="str">
        <f>"39.500.000,00"</f>
        <v>39.500.000,00</v>
      </c>
      <c r="K296" s="2" t="s">
        <v>594</v>
      </c>
      <c r="L296" s="2" t="s">
        <v>595</v>
      </c>
      <c r="M296" s="2" t="s">
        <v>382</v>
      </c>
      <c r="N296" s="2" t="s">
        <v>23</v>
      </c>
      <c r="O296" s="3" t="str">
        <f>"6.587.205,10"</f>
        <v>6.587.205,10</v>
      </c>
      <c r="P296" s="4"/>
    </row>
    <row r="297" spans="2:16" ht="31.5" x14ac:dyDescent="0.25">
      <c r="B297" s="2">
        <v>178</v>
      </c>
      <c r="C297" s="2" t="str">
        <f>"NOS-114-B/14"</f>
        <v>NOS-114-B/14</v>
      </c>
      <c r="D297" s="2" t="s">
        <v>16</v>
      </c>
      <c r="E297" s="2" t="s">
        <v>17</v>
      </c>
      <c r="F297" s="2" t="s">
        <v>596</v>
      </c>
      <c r="G297" s="2" t="str">
        <f>"2014-2543"</f>
        <v>2014-2543</v>
      </c>
      <c r="H297" s="2" t="str">
        <f>"2015/S 003-0015831"</f>
        <v>2015/S 003-0015831</v>
      </c>
      <c r="I297" s="2" t="s">
        <v>19</v>
      </c>
      <c r="J297" s="3" t="str">
        <f>"1.000.000,00"</f>
        <v>1.000.000,00</v>
      </c>
      <c r="K297" s="2" t="s">
        <v>48</v>
      </c>
      <c r="L297" s="2" t="s">
        <v>49</v>
      </c>
      <c r="M297" s="2" t="s">
        <v>50</v>
      </c>
      <c r="N297" s="2" t="s">
        <v>23</v>
      </c>
      <c r="O297" s="3" t="str">
        <f>"155.652,00"</f>
        <v>155.652,00</v>
      </c>
      <c r="P297" s="4"/>
    </row>
    <row r="298" spans="2:16" ht="47.25" x14ac:dyDescent="0.25">
      <c r="B298" s="36">
        <v>179</v>
      </c>
      <c r="C298" s="36" t="str">
        <f>"NOS-121-C/14"</f>
        <v>NOS-121-C/14</v>
      </c>
      <c r="D298" s="36" t="s">
        <v>28</v>
      </c>
      <c r="E298" s="36" t="s">
        <v>17</v>
      </c>
      <c r="F298" s="36" t="s">
        <v>597</v>
      </c>
      <c r="G298" s="36" t="str">
        <f>"2014-2466"</f>
        <v>2014-2466</v>
      </c>
      <c r="H298" s="36" t="str">
        <f>"2015/S 003-0023209"</f>
        <v>2015/S 003-0023209</v>
      </c>
      <c r="I298" s="36" t="s">
        <v>19</v>
      </c>
      <c r="J298" s="38" t="str">
        <f>"11.500.000,00"</f>
        <v>11.500.000,00</v>
      </c>
      <c r="K298" s="36" t="s">
        <v>82</v>
      </c>
      <c r="L298" s="36" t="s">
        <v>83</v>
      </c>
      <c r="M298" s="6" t="s">
        <v>598</v>
      </c>
      <c r="N298" s="36" t="s">
        <v>23</v>
      </c>
      <c r="O298" s="38" t="str">
        <f>"5.492.787,76"</f>
        <v>5.492.787,76</v>
      </c>
      <c r="P298" s="50"/>
    </row>
    <row r="299" spans="2:16" ht="47.25" x14ac:dyDescent="0.25">
      <c r="B299" s="48"/>
      <c r="C299" s="48"/>
      <c r="D299" s="48"/>
      <c r="E299" s="48"/>
      <c r="F299" s="48"/>
      <c r="G299" s="48"/>
      <c r="H299" s="48"/>
      <c r="I299" s="48"/>
      <c r="J299" s="49"/>
      <c r="K299" s="48"/>
      <c r="L299" s="48"/>
      <c r="M299" s="7" t="s">
        <v>599</v>
      </c>
      <c r="N299" s="48"/>
      <c r="O299" s="49"/>
      <c r="P299" s="51"/>
    </row>
    <row r="300" spans="2:16" ht="31.5" x14ac:dyDescent="0.25">
      <c r="B300" s="37"/>
      <c r="C300" s="37"/>
      <c r="D300" s="37"/>
      <c r="E300" s="37"/>
      <c r="F300" s="37"/>
      <c r="G300" s="37"/>
      <c r="H300" s="37"/>
      <c r="I300" s="37"/>
      <c r="J300" s="39"/>
      <c r="K300" s="37"/>
      <c r="L300" s="37"/>
      <c r="M300" s="8" t="s">
        <v>84</v>
      </c>
      <c r="N300" s="37"/>
      <c r="O300" s="39"/>
      <c r="P300" s="52"/>
    </row>
    <row r="301" spans="2:16" ht="47.25" x14ac:dyDescent="0.25">
      <c r="B301" s="2">
        <v>180</v>
      </c>
      <c r="C301" s="2" t="str">
        <f>"NOS-115-B/14"</f>
        <v>NOS-115-B/14</v>
      </c>
      <c r="D301" s="2" t="s">
        <v>16</v>
      </c>
      <c r="E301" s="2" t="s">
        <v>17</v>
      </c>
      <c r="F301" s="2" t="s">
        <v>600</v>
      </c>
      <c r="G301" s="2" t="str">
        <f>"2014-2758"</f>
        <v>2014-2758</v>
      </c>
      <c r="H301" s="2" t="str">
        <f>"2015/S 003-0015847"</f>
        <v>2015/S 003-0015847</v>
      </c>
      <c r="I301" s="2" t="s">
        <v>19</v>
      </c>
      <c r="J301" s="3" t="str">
        <f>"440.000,00"</f>
        <v>440.000,00</v>
      </c>
      <c r="K301" s="2" t="s">
        <v>48</v>
      </c>
      <c r="L301" s="2" t="s">
        <v>49</v>
      </c>
      <c r="M301" s="2" t="s">
        <v>50</v>
      </c>
      <c r="N301" s="2" t="s">
        <v>23</v>
      </c>
      <c r="O301" s="3" t="str">
        <f>"18.885,10"</f>
        <v>18.885,10</v>
      </c>
      <c r="P301" s="4"/>
    </row>
    <row r="302" spans="2:16" ht="31.5" x14ac:dyDescent="0.25">
      <c r="B302" s="2">
        <v>181</v>
      </c>
      <c r="C302" s="2" t="str">
        <f>"NOS-132-C/15"</f>
        <v>NOS-132-C/15</v>
      </c>
      <c r="D302" s="2" t="s">
        <v>16</v>
      </c>
      <c r="E302" s="2" t="s">
        <v>17</v>
      </c>
      <c r="F302" s="2" t="s">
        <v>601</v>
      </c>
      <c r="G302" s="2" t="str">
        <f>"2015-2487"</f>
        <v>2015-2487</v>
      </c>
      <c r="H302" s="2" t="s">
        <v>1541</v>
      </c>
      <c r="I302" s="2" t="s">
        <v>19</v>
      </c>
      <c r="J302" s="3" t="str">
        <f>"25.000,00"</f>
        <v>25.000,00</v>
      </c>
      <c r="K302" s="2" t="s">
        <v>401</v>
      </c>
      <c r="L302" s="2" t="s">
        <v>402</v>
      </c>
      <c r="M302" s="2" t="s">
        <v>50</v>
      </c>
      <c r="N302" s="2" t="s">
        <v>23</v>
      </c>
      <c r="O302" s="3" t="str">
        <f>"0,00"</f>
        <v>0,00</v>
      </c>
      <c r="P302" s="4"/>
    </row>
    <row r="303" spans="2:16" ht="31.5" x14ac:dyDescent="0.25">
      <c r="B303" s="2">
        <v>182</v>
      </c>
      <c r="C303" s="2" t="str">
        <f>"NOS-137-C/15"</f>
        <v>NOS-137-C/15</v>
      </c>
      <c r="D303" s="2" t="s">
        <v>16</v>
      </c>
      <c r="E303" s="2" t="s">
        <v>17</v>
      </c>
      <c r="F303" s="2" t="s">
        <v>602</v>
      </c>
      <c r="G303" s="2" t="str">
        <f>"2015-2559"</f>
        <v>2015-2559</v>
      </c>
      <c r="H303" s="2" t="s">
        <v>1543</v>
      </c>
      <c r="I303" s="2" t="s">
        <v>19</v>
      </c>
      <c r="J303" s="3" t="str">
        <f>"300.000,00"</f>
        <v>300.000,00</v>
      </c>
      <c r="K303" s="2" t="s">
        <v>405</v>
      </c>
      <c r="L303" s="2" t="s">
        <v>406</v>
      </c>
      <c r="M303" s="2" t="s">
        <v>50</v>
      </c>
      <c r="N303" s="2" t="s">
        <v>23</v>
      </c>
      <c r="O303" s="3" t="str">
        <f>"0,00"</f>
        <v>0,00</v>
      </c>
      <c r="P303" s="4"/>
    </row>
    <row r="304" spans="2:16" ht="63" x14ac:dyDescent="0.25">
      <c r="B304" s="2">
        <v>183</v>
      </c>
      <c r="C304" s="2" t="str">
        <f>"NOS-101-B/15"</f>
        <v>NOS-101-B/15</v>
      </c>
      <c r="D304" s="2" t="s">
        <v>16</v>
      </c>
      <c r="E304" s="2" t="s">
        <v>17</v>
      </c>
      <c r="F304" s="2" t="s">
        <v>603</v>
      </c>
      <c r="G304" s="2" t="str">
        <f>"2015-525"</f>
        <v>2015-525</v>
      </c>
      <c r="H304" s="2" t="str">
        <f>"2015/S 003-0038285"</f>
        <v>2015/S 003-0038285</v>
      </c>
      <c r="I304" s="2" t="s">
        <v>19</v>
      </c>
      <c r="J304" s="3" t="str">
        <f>"240.000,00"</f>
        <v>240.000,00</v>
      </c>
      <c r="K304" s="2" t="s">
        <v>92</v>
      </c>
      <c r="L304" s="2" t="s">
        <v>93</v>
      </c>
      <c r="M304" s="2" t="s">
        <v>604</v>
      </c>
      <c r="N304" s="2" t="s">
        <v>23</v>
      </c>
      <c r="O304" s="3" t="str">
        <f>"0,00"</f>
        <v>0,00</v>
      </c>
      <c r="P304" s="4"/>
    </row>
    <row r="305" spans="2:16" ht="31.5" x14ac:dyDescent="0.25">
      <c r="B305" s="36">
        <v>184</v>
      </c>
      <c r="C305" s="36" t="str">
        <f>"NOS-122-B/15"</f>
        <v>NOS-122-B/15</v>
      </c>
      <c r="D305" s="36" t="s">
        <v>16</v>
      </c>
      <c r="E305" s="36" t="s">
        <v>17</v>
      </c>
      <c r="F305" s="36" t="s">
        <v>605</v>
      </c>
      <c r="G305" s="36" t="str">
        <f>"2015-2370"</f>
        <v>2015-2370</v>
      </c>
      <c r="H305" s="36" t="str">
        <f>"2016/S 003-0000186"</f>
        <v>2016/S 003-0000186</v>
      </c>
      <c r="I305" s="36" t="s">
        <v>19</v>
      </c>
      <c r="J305" s="38" t="str">
        <f>"200.000,00"</f>
        <v>200.000,00</v>
      </c>
      <c r="K305" s="36" t="s">
        <v>472</v>
      </c>
      <c r="L305" s="36" t="s">
        <v>473</v>
      </c>
      <c r="M305" s="6" t="s">
        <v>111</v>
      </c>
      <c r="N305" s="36" t="s">
        <v>23</v>
      </c>
      <c r="O305" s="38" t="str">
        <f>"0,00"</f>
        <v>0,00</v>
      </c>
      <c r="P305" s="50"/>
    </row>
    <row r="306" spans="2:16" ht="31.5" x14ac:dyDescent="0.25">
      <c r="B306" s="37"/>
      <c r="C306" s="37"/>
      <c r="D306" s="37"/>
      <c r="E306" s="37"/>
      <c r="F306" s="37"/>
      <c r="G306" s="37"/>
      <c r="H306" s="37"/>
      <c r="I306" s="37"/>
      <c r="J306" s="39"/>
      <c r="K306" s="37"/>
      <c r="L306" s="37"/>
      <c r="M306" s="8" t="s">
        <v>229</v>
      </c>
      <c r="N306" s="37"/>
      <c r="O306" s="39"/>
      <c r="P306" s="52"/>
    </row>
    <row r="307" spans="2:16" ht="31.5" x14ac:dyDescent="0.25">
      <c r="B307" s="36">
        <v>185</v>
      </c>
      <c r="C307" s="36" t="str">
        <f>"NOS-92-B/15"</f>
        <v>NOS-92-B/15</v>
      </c>
      <c r="D307" s="36" t="s">
        <v>16</v>
      </c>
      <c r="E307" s="36" t="s">
        <v>17</v>
      </c>
      <c r="F307" s="36" t="s">
        <v>606</v>
      </c>
      <c r="G307" s="36" t="str">
        <f>"2015-358"</f>
        <v>2015-358</v>
      </c>
      <c r="H307" s="36" t="str">
        <f>" 2015/S 003-0032801"</f>
        <v xml:space="preserve"> 2015/S 003-0032801</v>
      </c>
      <c r="I307" s="36" t="s">
        <v>19</v>
      </c>
      <c r="J307" s="38" t="str">
        <f>"600.000,00"</f>
        <v>600.000,00</v>
      </c>
      <c r="K307" s="36" t="s">
        <v>155</v>
      </c>
      <c r="L307" s="36" t="s">
        <v>156</v>
      </c>
      <c r="M307" s="6" t="s">
        <v>590</v>
      </c>
      <c r="N307" s="36" t="s">
        <v>23</v>
      </c>
      <c r="O307" s="38" t="str">
        <f>"39.750,00"</f>
        <v>39.750,00</v>
      </c>
      <c r="P307" s="50"/>
    </row>
    <row r="308" spans="2:16" ht="31.5" x14ac:dyDescent="0.25">
      <c r="B308" s="48"/>
      <c r="C308" s="48"/>
      <c r="D308" s="48"/>
      <c r="E308" s="48"/>
      <c r="F308" s="48"/>
      <c r="G308" s="48"/>
      <c r="H308" s="48"/>
      <c r="I308" s="48"/>
      <c r="J308" s="49"/>
      <c r="K308" s="48"/>
      <c r="L308" s="48"/>
      <c r="M308" s="7" t="s">
        <v>186</v>
      </c>
      <c r="N308" s="48"/>
      <c r="O308" s="49"/>
      <c r="P308" s="51"/>
    </row>
    <row r="309" spans="2:16" ht="31.5" x14ac:dyDescent="0.25">
      <c r="B309" s="37"/>
      <c r="C309" s="37"/>
      <c r="D309" s="37"/>
      <c r="E309" s="37"/>
      <c r="F309" s="37"/>
      <c r="G309" s="37"/>
      <c r="H309" s="37"/>
      <c r="I309" s="37"/>
      <c r="J309" s="39"/>
      <c r="K309" s="37"/>
      <c r="L309" s="37"/>
      <c r="M309" s="8" t="s">
        <v>187</v>
      </c>
      <c r="N309" s="37"/>
      <c r="O309" s="39"/>
      <c r="P309" s="52"/>
    </row>
    <row r="310" spans="2:16" ht="78.75" x14ac:dyDescent="0.25">
      <c r="B310" s="2">
        <v>186</v>
      </c>
      <c r="C310" s="2" t="str">
        <f>"NOS-105-C/15"</f>
        <v>NOS-105-C/15</v>
      </c>
      <c r="D310" s="2" t="s">
        <v>16</v>
      </c>
      <c r="E310" s="2" t="s">
        <v>17</v>
      </c>
      <c r="F310" s="2" t="s">
        <v>607</v>
      </c>
      <c r="G310" s="2" t="str">
        <f>"2015-969"</f>
        <v>2015-969</v>
      </c>
      <c r="H310" s="2" t="str">
        <f>"2015/S 003-0033734"</f>
        <v>2015/S 003-0033734</v>
      </c>
      <c r="I310" s="2" t="s">
        <v>19</v>
      </c>
      <c r="J310" s="3" t="str">
        <f>"1.855.000,00"</f>
        <v>1.855.000,00</v>
      </c>
      <c r="K310" s="2" t="s">
        <v>514</v>
      </c>
      <c r="L310" s="2" t="s">
        <v>608</v>
      </c>
      <c r="M310" s="2" t="s">
        <v>153</v>
      </c>
      <c r="N310" s="2" t="s">
        <v>23</v>
      </c>
      <c r="O310" s="3" t="str">
        <f>"36.121,93"</f>
        <v>36.121,93</v>
      </c>
      <c r="P310" s="4"/>
    </row>
    <row r="311" spans="2:16" ht="78.75" x14ac:dyDescent="0.25">
      <c r="B311" s="2">
        <v>187</v>
      </c>
      <c r="C311" s="2" t="str">
        <f>"NOS-114-C/15"</f>
        <v>NOS-114-C/15</v>
      </c>
      <c r="D311" s="2" t="s">
        <v>16</v>
      </c>
      <c r="E311" s="2" t="s">
        <v>17</v>
      </c>
      <c r="F311" s="2" t="s">
        <v>609</v>
      </c>
      <c r="G311" s="2" t="str">
        <f>"2015-2283"</f>
        <v>2015-2283</v>
      </c>
      <c r="H311" s="2" t="str">
        <f>"2015/S 003-0038564"</f>
        <v>2015/S 003-0038564</v>
      </c>
      <c r="I311" s="2" t="s">
        <v>19</v>
      </c>
      <c r="J311" s="3" t="str">
        <f>"1.000.000,00"</f>
        <v>1.000.000,00</v>
      </c>
      <c r="K311" s="2" t="s">
        <v>460</v>
      </c>
      <c r="L311" s="2" t="s">
        <v>461</v>
      </c>
      <c r="M311" s="2" t="s">
        <v>234</v>
      </c>
      <c r="N311" s="2" t="s">
        <v>23</v>
      </c>
      <c r="O311" s="3" t="str">
        <f>"6.534,00"</f>
        <v>6.534,00</v>
      </c>
      <c r="P311" s="4"/>
    </row>
    <row r="312" spans="2:16" ht="78.75" x14ac:dyDescent="0.25">
      <c r="B312" s="2">
        <v>188</v>
      </c>
      <c r="C312" s="2" t="str">
        <f>"NOS-99-C/15"</f>
        <v>NOS-99-C/15</v>
      </c>
      <c r="D312" s="2" t="s">
        <v>16</v>
      </c>
      <c r="E312" s="2" t="s">
        <v>17</v>
      </c>
      <c r="F312" s="2" t="s">
        <v>610</v>
      </c>
      <c r="G312" s="2" t="str">
        <f>"2015-2236"</f>
        <v>2015-2236</v>
      </c>
      <c r="H312" s="2" t="str">
        <f>"2015/S  003-0030784"</f>
        <v>2015/S  003-0030784</v>
      </c>
      <c r="I312" s="2" t="s">
        <v>19</v>
      </c>
      <c r="J312" s="3" t="str">
        <f>"2.500.000,00"</f>
        <v>2.500.000,00</v>
      </c>
      <c r="K312" s="2" t="s">
        <v>155</v>
      </c>
      <c r="L312" s="2" t="s">
        <v>156</v>
      </c>
      <c r="M312" s="2" t="s">
        <v>64</v>
      </c>
      <c r="N312" s="2" t="s">
        <v>23</v>
      </c>
      <c r="O312" s="3" t="str">
        <f>"309.188,00"</f>
        <v>309.188,00</v>
      </c>
      <c r="P312" s="4"/>
    </row>
    <row r="313" spans="2:16" ht="31.5" x14ac:dyDescent="0.25">
      <c r="B313" s="36">
        <v>189</v>
      </c>
      <c r="C313" s="36" t="str">
        <f>"NOS-75-C/15"</f>
        <v>NOS-75-C/15</v>
      </c>
      <c r="D313" s="36" t="s">
        <v>214</v>
      </c>
      <c r="E313" s="36" t="s">
        <v>17</v>
      </c>
      <c r="F313" s="36" t="s">
        <v>611</v>
      </c>
      <c r="G313" s="36" t="str">
        <f>"2015-84"</f>
        <v>2015-84</v>
      </c>
      <c r="H313" s="36" t="str">
        <f>"2015/S 003-0038323"</f>
        <v>2015/S 003-0038323</v>
      </c>
      <c r="I313" s="36" t="s">
        <v>19</v>
      </c>
      <c r="J313" s="38" t="str">
        <f>"327.742,00"</f>
        <v>327.742,00</v>
      </c>
      <c r="K313" s="36" t="s">
        <v>526</v>
      </c>
      <c r="L313" s="36" t="s">
        <v>527</v>
      </c>
      <c r="M313" s="6" t="s">
        <v>612</v>
      </c>
      <c r="N313" s="36" t="s">
        <v>23</v>
      </c>
      <c r="O313" s="38" t="str">
        <f>"48.331,20"</f>
        <v>48.331,20</v>
      </c>
      <c r="P313" s="50"/>
    </row>
    <row r="314" spans="2:16" ht="31.5" x14ac:dyDescent="0.25">
      <c r="B314" s="37"/>
      <c r="C314" s="37"/>
      <c r="D314" s="37"/>
      <c r="E314" s="37"/>
      <c r="F314" s="37"/>
      <c r="G314" s="37"/>
      <c r="H314" s="37"/>
      <c r="I314" s="37"/>
      <c r="J314" s="39"/>
      <c r="K314" s="37"/>
      <c r="L314" s="37"/>
      <c r="M314" s="8" t="s">
        <v>613</v>
      </c>
      <c r="N314" s="37"/>
      <c r="O314" s="39"/>
      <c r="P314" s="52"/>
    </row>
    <row r="315" spans="2:16" ht="78.75" x14ac:dyDescent="0.25">
      <c r="B315" s="2">
        <v>190</v>
      </c>
      <c r="C315" s="2" t="str">
        <f>"NOS-82-C/15"</f>
        <v>NOS-82-C/15</v>
      </c>
      <c r="D315" s="2" t="s">
        <v>16</v>
      </c>
      <c r="E315" s="2" t="s">
        <v>17</v>
      </c>
      <c r="F315" s="2" t="s">
        <v>614</v>
      </c>
      <c r="G315" s="2" t="str">
        <f>"2015-2197"</f>
        <v>2015-2197</v>
      </c>
      <c r="H315" s="2" t="str">
        <f>"2015/S 003-0030364"</f>
        <v>2015/S 003-0030364</v>
      </c>
      <c r="I315" s="2" t="s">
        <v>19</v>
      </c>
      <c r="J315" s="3" t="str">
        <f>"4.000.000,00"</f>
        <v>4.000.000,00</v>
      </c>
      <c r="K315" s="2" t="s">
        <v>207</v>
      </c>
      <c r="L315" s="2" t="s">
        <v>208</v>
      </c>
      <c r="M315" s="2" t="s">
        <v>234</v>
      </c>
      <c r="N315" s="2" t="s">
        <v>23</v>
      </c>
      <c r="O315" s="3" t="str">
        <f>"746.904,90"</f>
        <v>746.904,90</v>
      </c>
      <c r="P315" s="4"/>
    </row>
    <row r="316" spans="2:16" ht="47.25" x14ac:dyDescent="0.25">
      <c r="B316" s="2">
        <v>191</v>
      </c>
      <c r="C316" s="2" t="str">
        <f>"NOS-28-D/15"</f>
        <v>NOS-28-D/15</v>
      </c>
      <c r="D316" s="2" t="s">
        <v>16</v>
      </c>
      <c r="E316" s="2" t="s">
        <v>17</v>
      </c>
      <c r="F316" s="2" t="s">
        <v>615</v>
      </c>
      <c r="G316" s="2" t="str">
        <f>"2015-49"</f>
        <v>2015-49</v>
      </c>
      <c r="H316" s="2" t="str">
        <f>"2015/S 003-0024628"</f>
        <v>2015/S 003-0024628</v>
      </c>
      <c r="I316" s="2" t="s">
        <v>19</v>
      </c>
      <c r="J316" s="3" t="str">
        <f>"500.000,00"</f>
        <v>500.000,00</v>
      </c>
      <c r="K316" s="2" t="s">
        <v>616</v>
      </c>
      <c r="L316" s="2" t="s">
        <v>617</v>
      </c>
      <c r="M316" s="2" t="s">
        <v>187</v>
      </c>
      <c r="N316" s="2" t="s">
        <v>23</v>
      </c>
      <c r="O316" s="3" t="str">
        <f>"277.925,00"</f>
        <v>277.925,00</v>
      </c>
      <c r="P316" s="4"/>
    </row>
    <row r="317" spans="2:16" ht="63" x14ac:dyDescent="0.25">
      <c r="B317" s="2">
        <v>192</v>
      </c>
      <c r="C317" s="2" t="str">
        <f>"NOS-59-B/15"</f>
        <v>NOS-59-B/15</v>
      </c>
      <c r="D317" s="2" t="s">
        <v>16</v>
      </c>
      <c r="E317" s="2" t="s">
        <v>17</v>
      </c>
      <c r="F317" s="2" t="s">
        <v>618</v>
      </c>
      <c r="G317" s="2" t="str">
        <f>"2015-1806"</f>
        <v>2015-1806</v>
      </c>
      <c r="H317" s="2" t="str">
        <f>"2015/S 003-0027603"</f>
        <v>2015/S 003-0027603</v>
      </c>
      <c r="I317" s="2" t="s">
        <v>19</v>
      </c>
      <c r="J317" s="3" t="str">
        <f>"350.000,00"</f>
        <v>350.000,00</v>
      </c>
      <c r="K317" s="2" t="s">
        <v>158</v>
      </c>
      <c r="L317" s="2" t="s">
        <v>159</v>
      </c>
      <c r="M317" s="2" t="s">
        <v>186</v>
      </c>
      <c r="N317" s="2" t="s">
        <v>23</v>
      </c>
      <c r="O317" s="3" t="str">
        <f>"169.572,00"</f>
        <v>169.572,00</v>
      </c>
      <c r="P317" s="4"/>
    </row>
    <row r="318" spans="2:16" s="19" customFormat="1" ht="60" x14ac:dyDescent="0.25">
      <c r="B318" s="16">
        <v>193</v>
      </c>
      <c r="C318" s="16" t="str">
        <f>"NOS-114-C/14"</f>
        <v>NOS-114-C/14</v>
      </c>
      <c r="D318" s="16" t="s">
        <v>16</v>
      </c>
      <c r="E318" s="16" t="s">
        <v>17</v>
      </c>
      <c r="F318" s="16" t="s">
        <v>619</v>
      </c>
      <c r="G318" s="16" t="str">
        <f>"2014-2543"</f>
        <v>2014-2543</v>
      </c>
      <c r="H318" s="16" t="str">
        <f>"2015/S 003-0015831"</f>
        <v>2015/S 003-0015831</v>
      </c>
      <c r="I318" s="16" t="s">
        <v>19</v>
      </c>
      <c r="J318" s="17" t="str">
        <f>"700.000,00"</f>
        <v>700.000,00</v>
      </c>
      <c r="K318" s="16" t="s">
        <v>48</v>
      </c>
      <c r="L318" s="16" t="s">
        <v>49</v>
      </c>
      <c r="M318" s="16" t="s">
        <v>50</v>
      </c>
      <c r="N318" s="16" t="s">
        <v>23</v>
      </c>
      <c r="O318" s="17" t="str">
        <f>"706.844,00"</f>
        <v>706.844,00</v>
      </c>
      <c r="P318" s="18" t="s">
        <v>699</v>
      </c>
    </row>
    <row r="319" spans="2:16" ht="47.25" x14ac:dyDescent="0.25">
      <c r="B319" s="2">
        <v>194</v>
      </c>
      <c r="C319" s="2" t="str">
        <f>"NOS-115-C/14"</f>
        <v>NOS-115-C/14</v>
      </c>
      <c r="D319" s="2" t="s">
        <v>16</v>
      </c>
      <c r="E319" s="2" t="s">
        <v>17</v>
      </c>
      <c r="F319" s="2" t="s">
        <v>620</v>
      </c>
      <c r="G319" s="2" t="str">
        <f>"2014-2758"</f>
        <v>2014-2758</v>
      </c>
      <c r="H319" s="2" t="str">
        <f>"2015/S 003-0015847"</f>
        <v>2015/S 003-0015847</v>
      </c>
      <c r="I319" s="2" t="s">
        <v>19</v>
      </c>
      <c r="J319" s="3" t="str">
        <f>"120.000,00"</f>
        <v>120.000,00</v>
      </c>
      <c r="K319" s="2" t="s">
        <v>48</v>
      </c>
      <c r="L319" s="2" t="s">
        <v>49</v>
      </c>
      <c r="M319" s="2" t="s">
        <v>50</v>
      </c>
      <c r="N319" s="2" t="s">
        <v>23</v>
      </c>
      <c r="O319" s="3" t="str">
        <f>"5.443,31"</f>
        <v>5.443,31</v>
      </c>
      <c r="P319" s="4"/>
    </row>
    <row r="320" spans="2:16" ht="31.5" x14ac:dyDescent="0.25">
      <c r="B320" s="2">
        <v>195</v>
      </c>
      <c r="C320" s="2" t="str">
        <f>"NOS-132-D/15"</f>
        <v>NOS-132-D/15</v>
      </c>
      <c r="D320" s="2" t="s">
        <v>16</v>
      </c>
      <c r="E320" s="2" t="s">
        <v>17</v>
      </c>
      <c r="F320" s="2" t="s">
        <v>621</v>
      </c>
      <c r="G320" s="2" t="str">
        <f>"2015-2487"</f>
        <v>2015-2487</v>
      </c>
      <c r="H320" s="2" t="s">
        <v>1541</v>
      </c>
      <c r="I320" s="2" t="s">
        <v>19</v>
      </c>
      <c r="J320" s="3" t="str">
        <f>"100.000,00"</f>
        <v>100.000,00</v>
      </c>
      <c r="K320" s="2" t="s">
        <v>401</v>
      </c>
      <c r="L320" s="2" t="s">
        <v>402</v>
      </c>
      <c r="M320" s="2" t="s">
        <v>50</v>
      </c>
      <c r="N320" s="2" t="s">
        <v>23</v>
      </c>
      <c r="O320" s="3" t="str">
        <f>"0,00"</f>
        <v>0,00</v>
      </c>
      <c r="P320" s="4"/>
    </row>
    <row r="321" spans="2:16" ht="31.5" x14ac:dyDescent="0.25">
      <c r="B321" s="36">
        <v>196</v>
      </c>
      <c r="C321" s="36" t="str">
        <f>"NOS-115-B/15"</f>
        <v>NOS-115-B/15</v>
      </c>
      <c r="D321" s="36" t="s">
        <v>446</v>
      </c>
      <c r="E321" s="36" t="s">
        <v>17</v>
      </c>
      <c r="F321" s="36" t="s">
        <v>622</v>
      </c>
      <c r="G321" s="36" t="str">
        <f>"2015-620"</f>
        <v>2015-620</v>
      </c>
      <c r="H321" s="36" t="str">
        <f>"2015/S 003-0034269"</f>
        <v>2015/S 003-0034269</v>
      </c>
      <c r="I321" s="36" t="s">
        <v>19</v>
      </c>
      <c r="J321" s="38" t="str">
        <f>"510.000,00"</f>
        <v>510.000,00</v>
      </c>
      <c r="K321" s="36" t="s">
        <v>448</v>
      </c>
      <c r="L321" s="36" t="s">
        <v>449</v>
      </c>
      <c r="M321" s="6" t="s">
        <v>452</v>
      </c>
      <c r="N321" s="36" t="s">
        <v>23</v>
      </c>
      <c r="O321" s="38" t="str">
        <f>"0,00"</f>
        <v>0,00</v>
      </c>
      <c r="P321" s="50"/>
    </row>
    <row r="322" spans="2:16" ht="31.5" x14ac:dyDescent="0.25">
      <c r="B322" s="37"/>
      <c r="C322" s="37"/>
      <c r="D322" s="37"/>
      <c r="E322" s="37"/>
      <c r="F322" s="37"/>
      <c r="G322" s="37"/>
      <c r="H322" s="37"/>
      <c r="I322" s="37"/>
      <c r="J322" s="39"/>
      <c r="K322" s="37"/>
      <c r="L322" s="37"/>
      <c r="M322" s="8" t="s">
        <v>450</v>
      </c>
      <c r="N322" s="37"/>
      <c r="O322" s="39"/>
      <c r="P322" s="52"/>
    </row>
    <row r="323" spans="2:16" ht="31.5" x14ac:dyDescent="0.25">
      <c r="B323" s="36">
        <v>197</v>
      </c>
      <c r="C323" s="36" t="str">
        <f>"NOS-127-B/15"</f>
        <v>NOS-127-B/15</v>
      </c>
      <c r="D323" s="36" t="s">
        <v>16</v>
      </c>
      <c r="E323" s="36" t="s">
        <v>17</v>
      </c>
      <c r="F323" s="36" t="s">
        <v>623</v>
      </c>
      <c r="G323" s="36" t="str">
        <f>"2015-961"</f>
        <v>2015-961</v>
      </c>
      <c r="H323" s="36" t="str">
        <f>"2015/S 003-0038292"</f>
        <v>2015/S 003-0038292</v>
      </c>
      <c r="I323" s="36" t="s">
        <v>19</v>
      </c>
      <c r="J323" s="38" t="str">
        <f>"600.000,00"</f>
        <v>600.000,00</v>
      </c>
      <c r="K323" s="36" t="s">
        <v>468</v>
      </c>
      <c r="L323" s="36" t="s">
        <v>469</v>
      </c>
      <c r="M323" s="6" t="s">
        <v>494</v>
      </c>
      <c r="N323" s="36" t="s">
        <v>23</v>
      </c>
      <c r="O323" s="38" t="str">
        <f>"0,00"</f>
        <v>0,00</v>
      </c>
      <c r="P323" s="50"/>
    </row>
    <row r="324" spans="2:16" ht="47.25" x14ac:dyDescent="0.25">
      <c r="B324" s="48"/>
      <c r="C324" s="48"/>
      <c r="D324" s="48"/>
      <c r="E324" s="48"/>
      <c r="F324" s="48"/>
      <c r="G324" s="48"/>
      <c r="H324" s="48"/>
      <c r="I324" s="48"/>
      <c r="J324" s="49"/>
      <c r="K324" s="48"/>
      <c r="L324" s="48"/>
      <c r="M324" s="7" t="s">
        <v>624</v>
      </c>
      <c r="N324" s="48"/>
      <c r="O324" s="49"/>
      <c r="P324" s="51"/>
    </row>
    <row r="325" spans="2:16" ht="31.5" x14ac:dyDescent="0.25">
      <c r="B325" s="37"/>
      <c r="C325" s="37"/>
      <c r="D325" s="37"/>
      <c r="E325" s="37"/>
      <c r="F325" s="37"/>
      <c r="G325" s="37"/>
      <c r="H325" s="37"/>
      <c r="I325" s="37"/>
      <c r="J325" s="39"/>
      <c r="K325" s="37"/>
      <c r="L325" s="37"/>
      <c r="M325" s="8" t="s">
        <v>342</v>
      </c>
      <c r="N325" s="37"/>
      <c r="O325" s="39"/>
      <c r="P325" s="52"/>
    </row>
    <row r="326" spans="2:16" ht="78.75" x14ac:dyDescent="0.25">
      <c r="B326" s="2">
        <v>198</v>
      </c>
      <c r="C326" s="2" t="str">
        <f>"NOS-70-B/15"</f>
        <v>NOS-70-B/15</v>
      </c>
      <c r="D326" s="2" t="s">
        <v>28</v>
      </c>
      <c r="E326" s="2" t="s">
        <v>17</v>
      </c>
      <c r="F326" s="2" t="s">
        <v>625</v>
      </c>
      <c r="G326" s="2" t="str">
        <f>"2015-2280"</f>
        <v>2015-2280</v>
      </c>
      <c r="H326" s="2" t="str">
        <f>"2015/S 003-0029569"</f>
        <v>2015/S 003-0029569</v>
      </c>
      <c r="I326" s="2" t="s">
        <v>19</v>
      </c>
      <c r="J326" s="3" t="str">
        <f>"200.000,00"</f>
        <v>200.000,00</v>
      </c>
      <c r="K326" s="2" t="s">
        <v>360</v>
      </c>
      <c r="L326" s="2" t="s">
        <v>361</v>
      </c>
      <c r="M326" s="2" t="s">
        <v>508</v>
      </c>
      <c r="N326" s="2" t="s">
        <v>23</v>
      </c>
      <c r="O326" s="3" t="str">
        <f>"36.846,40"</f>
        <v>36.846,40</v>
      </c>
      <c r="P326" s="4"/>
    </row>
    <row r="327" spans="2:16" ht="78.75" x14ac:dyDescent="0.25">
      <c r="B327" s="2">
        <v>199</v>
      </c>
      <c r="C327" s="2" t="str">
        <f>"NOS-105-D/15"</f>
        <v>NOS-105-D/15</v>
      </c>
      <c r="D327" s="2" t="s">
        <v>16</v>
      </c>
      <c r="E327" s="2" t="s">
        <v>17</v>
      </c>
      <c r="F327" s="2" t="s">
        <v>626</v>
      </c>
      <c r="G327" s="2" t="str">
        <f>"2015-969"</f>
        <v>2015-969</v>
      </c>
      <c r="H327" s="2" t="str">
        <f>"2015/S 003-0033734"</f>
        <v>2015/S 003-0033734</v>
      </c>
      <c r="I327" s="2" t="s">
        <v>19</v>
      </c>
      <c r="J327" s="3" t="str">
        <f>"1.970.000,00"</f>
        <v>1.970.000,00</v>
      </c>
      <c r="K327" s="2" t="s">
        <v>514</v>
      </c>
      <c r="L327" s="2" t="s">
        <v>608</v>
      </c>
      <c r="M327" s="2" t="s">
        <v>62</v>
      </c>
      <c r="N327" s="2" t="s">
        <v>23</v>
      </c>
      <c r="O327" s="3" t="str">
        <f>"25.570,13"</f>
        <v>25.570,13</v>
      </c>
      <c r="P327" s="4"/>
    </row>
    <row r="328" spans="2:16" ht="47.25" x14ac:dyDescent="0.25">
      <c r="B328" s="36">
        <v>200</v>
      </c>
      <c r="C328" s="36" t="str">
        <f>"NOS-96-B/15"</f>
        <v>NOS-96-B/15</v>
      </c>
      <c r="D328" s="36" t="s">
        <v>16</v>
      </c>
      <c r="E328" s="36" t="s">
        <v>17</v>
      </c>
      <c r="F328" s="36" t="s">
        <v>627</v>
      </c>
      <c r="G328" s="36" t="str">
        <f>"2015-2275"</f>
        <v>2015-2275</v>
      </c>
      <c r="H328" s="36" t="str">
        <f>"2015/S 003-0033469"</f>
        <v>2015/S 003-0033469</v>
      </c>
      <c r="I328" s="36" t="s">
        <v>19</v>
      </c>
      <c r="J328" s="38" t="str">
        <f>"200.000,00"</f>
        <v>200.000,00</v>
      </c>
      <c r="K328" s="36" t="s">
        <v>526</v>
      </c>
      <c r="L328" s="36" t="s">
        <v>527</v>
      </c>
      <c r="M328" s="6" t="s">
        <v>528</v>
      </c>
      <c r="N328" s="36" t="s">
        <v>23</v>
      </c>
      <c r="O328" s="38" t="str">
        <f>"3.987,60"</f>
        <v>3.987,60</v>
      </c>
      <c r="P328" s="50"/>
    </row>
    <row r="329" spans="2:16" ht="31.5" x14ac:dyDescent="0.25">
      <c r="B329" s="48"/>
      <c r="C329" s="48"/>
      <c r="D329" s="48"/>
      <c r="E329" s="48"/>
      <c r="F329" s="48"/>
      <c r="G329" s="48"/>
      <c r="H329" s="48"/>
      <c r="I329" s="48"/>
      <c r="J329" s="49"/>
      <c r="K329" s="48"/>
      <c r="L329" s="48"/>
      <c r="M329" s="7" t="s">
        <v>62</v>
      </c>
      <c r="N329" s="48"/>
      <c r="O329" s="49"/>
      <c r="P329" s="51"/>
    </row>
    <row r="330" spans="2:16" ht="31.5" x14ac:dyDescent="0.25">
      <c r="B330" s="37"/>
      <c r="C330" s="37"/>
      <c r="D330" s="37"/>
      <c r="E330" s="37"/>
      <c r="F330" s="37"/>
      <c r="G330" s="37"/>
      <c r="H330" s="37"/>
      <c r="I330" s="37"/>
      <c r="J330" s="39"/>
      <c r="K330" s="37"/>
      <c r="L330" s="37"/>
      <c r="M330" s="8" t="s">
        <v>628</v>
      </c>
      <c r="N330" s="37"/>
      <c r="O330" s="39"/>
      <c r="P330" s="52"/>
    </row>
    <row r="331" spans="2:16" ht="78.75" x14ac:dyDescent="0.25">
      <c r="B331" s="2">
        <v>201</v>
      </c>
      <c r="C331" s="2" t="str">
        <f>"NOS-114-D/15"</f>
        <v>NOS-114-D/15</v>
      </c>
      <c r="D331" s="2" t="s">
        <v>16</v>
      </c>
      <c r="E331" s="2" t="s">
        <v>17</v>
      </c>
      <c r="F331" s="2" t="s">
        <v>629</v>
      </c>
      <c r="G331" s="2" t="str">
        <f>"2015-2283"</f>
        <v>2015-2283</v>
      </c>
      <c r="H331" s="2" t="str">
        <f>"2015/S 003-0038564"</f>
        <v>2015/S 003-0038564</v>
      </c>
      <c r="I331" s="2" t="s">
        <v>19</v>
      </c>
      <c r="J331" s="3" t="str">
        <f>"800.000,00"</f>
        <v>800.000,00</v>
      </c>
      <c r="K331" s="2" t="s">
        <v>460</v>
      </c>
      <c r="L331" s="2" t="s">
        <v>461</v>
      </c>
      <c r="M331" s="2" t="s">
        <v>234</v>
      </c>
      <c r="N331" s="2" t="s">
        <v>23</v>
      </c>
      <c r="O331" s="3" t="str">
        <f>"12.856,00"</f>
        <v>12.856,00</v>
      </c>
      <c r="P331" s="4"/>
    </row>
    <row r="332" spans="2:16" ht="31.5" x14ac:dyDescent="0.25">
      <c r="B332" s="36">
        <v>202</v>
      </c>
      <c r="C332" s="36" t="str">
        <f>"NOS-100-B/15"</f>
        <v>NOS-100-B/15</v>
      </c>
      <c r="D332" s="36" t="s">
        <v>242</v>
      </c>
      <c r="E332" s="36" t="s">
        <v>17</v>
      </c>
      <c r="F332" s="36" t="s">
        <v>630</v>
      </c>
      <c r="G332" s="36" t="str">
        <f>"2015-1651"</f>
        <v>2015-1651</v>
      </c>
      <c r="H332" s="36" t="str">
        <f>"2015/S 003-0034979"</f>
        <v>2015/S 003-0034979</v>
      </c>
      <c r="I332" s="36" t="s">
        <v>19</v>
      </c>
      <c r="J332" s="38" t="str">
        <f>"1.408.000,00"</f>
        <v>1.408.000,00</v>
      </c>
      <c r="K332" s="36" t="s">
        <v>516</v>
      </c>
      <c r="L332" s="36" t="s">
        <v>517</v>
      </c>
      <c r="M332" s="6" t="s">
        <v>303</v>
      </c>
      <c r="N332" s="36" t="s">
        <v>23</v>
      </c>
      <c r="O332" s="38" t="str">
        <f>"75.777,03"</f>
        <v>75.777,03</v>
      </c>
      <c r="P332" s="50"/>
    </row>
    <row r="333" spans="2:16" ht="31.5" x14ac:dyDescent="0.25">
      <c r="B333" s="48"/>
      <c r="C333" s="48"/>
      <c r="D333" s="48"/>
      <c r="E333" s="48"/>
      <c r="F333" s="48"/>
      <c r="G333" s="48"/>
      <c r="H333" s="48"/>
      <c r="I333" s="48"/>
      <c r="J333" s="49"/>
      <c r="K333" s="48"/>
      <c r="L333" s="48"/>
      <c r="M333" s="7" t="s">
        <v>565</v>
      </c>
      <c r="N333" s="48"/>
      <c r="O333" s="49"/>
      <c r="P333" s="51"/>
    </row>
    <row r="334" spans="2:16" ht="31.5" x14ac:dyDescent="0.25">
      <c r="B334" s="37"/>
      <c r="C334" s="37"/>
      <c r="D334" s="37"/>
      <c r="E334" s="37"/>
      <c r="F334" s="37"/>
      <c r="G334" s="37"/>
      <c r="H334" s="37"/>
      <c r="I334" s="37"/>
      <c r="J334" s="39"/>
      <c r="K334" s="37"/>
      <c r="L334" s="37"/>
      <c r="M334" s="8" t="s">
        <v>631</v>
      </c>
      <c r="N334" s="37"/>
      <c r="O334" s="39"/>
      <c r="P334" s="52"/>
    </row>
    <row r="335" spans="2:16" ht="63" x14ac:dyDescent="0.25">
      <c r="B335" s="2">
        <v>203</v>
      </c>
      <c r="C335" s="2" t="str">
        <f>"NOS-99-E/15"</f>
        <v>NOS-99-E/15</v>
      </c>
      <c r="D335" s="2" t="s">
        <v>16</v>
      </c>
      <c r="E335" s="2" t="s">
        <v>17</v>
      </c>
      <c r="F335" s="2" t="s">
        <v>632</v>
      </c>
      <c r="G335" s="2" t="str">
        <f>"2015-2236"</f>
        <v>2015-2236</v>
      </c>
      <c r="H335" s="2" t="str">
        <f>"2015/S  003-0030784"</f>
        <v>2015/S  003-0030784</v>
      </c>
      <c r="I335" s="2" t="s">
        <v>19</v>
      </c>
      <c r="J335" s="3" t="str">
        <f>"1.400.000,00"</f>
        <v>1.400.000,00</v>
      </c>
      <c r="K335" s="2" t="s">
        <v>155</v>
      </c>
      <c r="L335" s="2" t="s">
        <v>156</v>
      </c>
      <c r="M335" s="2" t="s">
        <v>62</v>
      </c>
      <c r="N335" s="2" t="s">
        <v>23</v>
      </c>
      <c r="O335" s="3" t="str">
        <f>"107.789,87"</f>
        <v>107.789,87</v>
      </c>
      <c r="P335" s="4"/>
    </row>
    <row r="336" spans="2:16" ht="31.5" x14ac:dyDescent="0.25">
      <c r="B336" s="36">
        <v>204</v>
      </c>
      <c r="C336" s="36" t="str">
        <f>"NOS-63-B/15"</f>
        <v>NOS-63-B/15</v>
      </c>
      <c r="D336" s="36" t="s">
        <v>28</v>
      </c>
      <c r="E336" s="36" t="s">
        <v>17</v>
      </c>
      <c r="F336" s="36" t="s">
        <v>633</v>
      </c>
      <c r="G336" s="36" t="str">
        <f>"2015-1222"</f>
        <v>2015-1222</v>
      </c>
      <c r="H336" s="36" t="str">
        <f>"2015/S 003-0027222"</f>
        <v>2015/S 003-0027222</v>
      </c>
      <c r="I336" s="36" t="s">
        <v>19</v>
      </c>
      <c r="J336" s="38" t="str">
        <f>"25.000,00"</f>
        <v>25.000,00</v>
      </c>
      <c r="K336" s="36" t="s">
        <v>162</v>
      </c>
      <c r="L336" s="36" t="s">
        <v>163</v>
      </c>
      <c r="M336" s="6" t="s">
        <v>56</v>
      </c>
      <c r="N336" s="36" t="s">
        <v>23</v>
      </c>
      <c r="O336" s="38" t="str">
        <f>"16.320,00"</f>
        <v>16.320,00</v>
      </c>
      <c r="P336" s="50"/>
    </row>
    <row r="337" spans="2:16" ht="31.5" x14ac:dyDescent="0.25">
      <c r="B337" s="48"/>
      <c r="C337" s="48"/>
      <c r="D337" s="48"/>
      <c r="E337" s="48"/>
      <c r="F337" s="48"/>
      <c r="G337" s="48"/>
      <c r="H337" s="48"/>
      <c r="I337" s="48"/>
      <c r="J337" s="49"/>
      <c r="K337" s="48"/>
      <c r="L337" s="48"/>
      <c r="M337" s="7" t="s">
        <v>84</v>
      </c>
      <c r="N337" s="48"/>
      <c r="O337" s="49"/>
      <c r="P337" s="51"/>
    </row>
    <row r="338" spans="2:16" ht="47.25" x14ac:dyDescent="0.25">
      <c r="B338" s="37"/>
      <c r="C338" s="37"/>
      <c r="D338" s="37"/>
      <c r="E338" s="37"/>
      <c r="F338" s="37"/>
      <c r="G338" s="37"/>
      <c r="H338" s="37"/>
      <c r="I338" s="37"/>
      <c r="J338" s="39"/>
      <c r="K338" s="37"/>
      <c r="L338" s="37"/>
      <c r="M338" s="8" t="s">
        <v>164</v>
      </c>
      <c r="N338" s="37"/>
      <c r="O338" s="39"/>
      <c r="P338" s="52"/>
    </row>
    <row r="339" spans="2:16" ht="47.25" x14ac:dyDescent="0.25">
      <c r="B339" s="36">
        <v>205</v>
      </c>
      <c r="C339" s="36" t="str">
        <f>"NOS-97-B/15"</f>
        <v>NOS-97-B/15</v>
      </c>
      <c r="D339" s="36" t="s">
        <v>28</v>
      </c>
      <c r="E339" s="36" t="s">
        <v>17</v>
      </c>
      <c r="F339" s="36" t="s">
        <v>634</v>
      </c>
      <c r="G339" s="36" t="str">
        <f>"2015-1896"</f>
        <v>2015-1896</v>
      </c>
      <c r="H339" s="36" t="str">
        <f>"2015/S 003-0034132"</f>
        <v>2015/S 003-0034132</v>
      </c>
      <c r="I339" s="36" t="s">
        <v>19</v>
      </c>
      <c r="J339" s="38" t="str">
        <f>"670.000,00"</f>
        <v>670.000,00</v>
      </c>
      <c r="K339" s="36" t="s">
        <v>182</v>
      </c>
      <c r="L339" s="36" t="s">
        <v>183</v>
      </c>
      <c r="M339" s="6" t="s">
        <v>44</v>
      </c>
      <c r="N339" s="36" t="s">
        <v>23</v>
      </c>
      <c r="O339" s="38" t="str">
        <f>"113.723,27"</f>
        <v>113.723,27</v>
      </c>
      <c r="P339" s="50"/>
    </row>
    <row r="340" spans="2:16" ht="31.5" x14ac:dyDescent="0.25">
      <c r="B340" s="37"/>
      <c r="C340" s="37"/>
      <c r="D340" s="37"/>
      <c r="E340" s="37"/>
      <c r="F340" s="37"/>
      <c r="G340" s="37"/>
      <c r="H340" s="37"/>
      <c r="I340" s="37"/>
      <c r="J340" s="39"/>
      <c r="K340" s="37"/>
      <c r="L340" s="37"/>
      <c r="M340" s="8" t="s">
        <v>84</v>
      </c>
      <c r="N340" s="37"/>
      <c r="O340" s="39"/>
      <c r="P340" s="52"/>
    </row>
    <row r="341" spans="2:16" ht="63" x14ac:dyDescent="0.25">
      <c r="B341" s="2">
        <v>206</v>
      </c>
      <c r="C341" s="2" t="str">
        <f>"NOS-82-E/15"</f>
        <v>NOS-82-E/15</v>
      </c>
      <c r="D341" s="2" t="s">
        <v>16</v>
      </c>
      <c r="E341" s="2" t="s">
        <v>17</v>
      </c>
      <c r="F341" s="2" t="s">
        <v>635</v>
      </c>
      <c r="G341" s="2" t="str">
        <f>"2015-2197"</f>
        <v>2015-2197</v>
      </c>
      <c r="H341" s="2" t="str">
        <f>"2015/S 003-0030364"</f>
        <v>2015/S 003-0030364</v>
      </c>
      <c r="I341" s="2" t="s">
        <v>19</v>
      </c>
      <c r="J341" s="3" t="str">
        <f>"600.000,00"</f>
        <v>600.000,00</v>
      </c>
      <c r="K341" s="2" t="s">
        <v>207</v>
      </c>
      <c r="L341" s="2" t="s">
        <v>208</v>
      </c>
      <c r="M341" s="2" t="s">
        <v>62</v>
      </c>
      <c r="N341" s="2" t="s">
        <v>23</v>
      </c>
      <c r="O341" s="3" t="str">
        <f>"47.568,24"</f>
        <v>47.568,24</v>
      </c>
      <c r="P341" s="4"/>
    </row>
    <row r="342" spans="2:16" ht="47.25" x14ac:dyDescent="0.25">
      <c r="B342" s="2">
        <v>207</v>
      </c>
      <c r="C342" s="2" t="str">
        <f>"NOS-28-C/15"</f>
        <v>NOS-28-C/15</v>
      </c>
      <c r="D342" s="2" t="s">
        <v>16</v>
      </c>
      <c r="E342" s="2" t="s">
        <v>17</v>
      </c>
      <c r="F342" s="2" t="s">
        <v>636</v>
      </c>
      <c r="G342" s="2" t="str">
        <f>"2015-49"</f>
        <v>2015-49</v>
      </c>
      <c r="H342" s="2" t="str">
        <f>"2015/S 003-0024628"</f>
        <v>2015/S 003-0024628</v>
      </c>
      <c r="I342" s="2" t="s">
        <v>19</v>
      </c>
      <c r="J342" s="3" t="str">
        <f>"500.000,00"</f>
        <v>500.000,00</v>
      </c>
      <c r="K342" s="2" t="s">
        <v>252</v>
      </c>
      <c r="L342" s="2" t="s">
        <v>253</v>
      </c>
      <c r="M342" s="2" t="s">
        <v>186</v>
      </c>
      <c r="N342" s="2" t="s">
        <v>23</v>
      </c>
      <c r="O342" s="3" t="str">
        <f>"277.398,00"</f>
        <v>277.398,00</v>
      </c>
      <c r="P342" s="4"/>
    </row>
    <row r="343" spans="2:16" ht="63" x14ac:dyDescent="0.25">
      <c r="B343" s="2">
        <v>208</v>
      </c>
      <c r="C343" s="2" t="str">
        <f>"NOS-59-C/15"</f>
        <v>NOS-59-C/15</v>
      </c>
      <c r="D343" s="2" t="s">
        <v>16</v>
      </c>
      <c r="E343" s="2" t="s">
        <v>17</v>
      </c>
      <c r="F343" s="2" t="s">
        <v>637</v>
      </c>
      <c r="G343" s="2" t="str">
        <f>"2015-1806"</f>
        <v>2015-1806</v>
      </c>
      <c r="H343" s="2" t="str">
        <f>"2015/S 003-0027603"</f>
        <v>2015/S 003-0027603</v>
      </c>
      <c r="I343" s="2" t="s">
        <v>19</v>
      </c>
      <c r="J343" s="3" t="str">
        <f>"350.000,00"</f>
        <v>350.000,00</v>
      </c>
      <c r="K343" s="2" t="s">
        <v>478</v>
      </c>
      <c r="L343" s="2" t="s">
        <v>479</v>
      </c>
      <c r="M343" s="2" t="s">
        <v>187</v>
      </c>
      <c r="N343" s="2" t="s">
        <v>23</v>
      </c>
      <c r="O343" s="3" t="str">
        <f>"0,00"</f>
        <v>0,00</v>
      </c>
      <c r="P343" s="4"/>
    </row>
    <row r="344" spans="2:16" ht="47.25" x14ac:dyDescent="0.25">
      <c r="B344" s="2">
        <v>209</v>
      </c>
      <c r="C344" s="2" t="str">
        <f>"NOS-115-D/14"</f>
        <v>NOS-115-D/14</v>
      </c>
      <c r="D344" s="2" t="s">
        <v>16</v>
      </c>
      <c r="E344" s="2" t="s">
        <v>17</v>
      </c>
      <c r="F344" s="2" t="s">
        <v>638</v>
      </c>
      <c r="G344" s="2" t="str">
        <f>"2014-2758"</f>
        <v>2014-2758</v>
      </c>
      <c r="H344" s="2" t="str">
        <f>"2015/S 003-0015847"</f>
        <v>2015/S 003-0015847</v>
      </c>
      <c r="I344" s="2" t="s">
        <v>19</v>
      </c>
      <c r="J344" s="3" t="str">
        <f>"40.000,00"</f>
        <v>40.000,00</v>
      </c>
      <c r="K344" s="2" t="s">
        <v>48</v>
      </c>
      <c r="L344" s="2" t="s">
        <v>49</v>
      </c>
      <c r="M344" s="2" t="s">
        <v>50</v>
      </c>
      <c r="N344" s="2" t="s">
        <v>23</v>
      </c>
      <c r="O344" s="3" t="str">
        <f>"0,00"</f>
        <v>0,00</v>
      </c>
      <c r="P344" s="4"/>
    </row>
    <row r="345" spans="2:16" ht="31.5" x14ac:dyDescent="0.25">
      <c r="B345" s="2">
        <v>210</v>
      </c>
      <c r="C345" s="2" t="str">
        <f>"NOS-132-E/15"</f>
        <v>NOS-132-E/15</v>
      </c>
      <c r="D345" s="2" t="s">
        <v>16</v>
      </c>
      <c r="E345" s="2" t="s">
        <v>17</v>
      </c>
      <c r="F345" s="2" t="s">
        <v>639</v>
      </c>
      <c r="G345" s="2" t="str">
        <f>"2015-2487"</f>
        <v>2015-2487</v>
      </c>
      <c r="H345" s="2" t="s">
        <v>1541</v>
      </c>
      <c r="I345" s="2" t="s">
        <v>19</v>
      </c>
      <c r="J345" s="3" t="str">
        <f>"70.000,00"</f>
        <v>70.000,00</v>
      </c>
      <c r="K345" s="2" t="s">
        <v>401</v>
      </c>
      <c r="L345" s="2" t="s">
        <v>402</v>
      </c>
      <c r="M345" s="2" t="s">
        <v>50</v>
      </c>
      <c r="N345" s="2" t="s">
        <v>23</v>
      </c>
      <c r="O345" s="3" t="str">
        <f>"0,00"</f>
        <v>0,00</v>
      </c>
      <c r="P345" s="4"/>
    </row>
    <row r="346" spans="2:16" ht="78.75" x14ac:dyDescent="0.25">
      <c r="B346" s="2">
        <v>211</v>
      </c>
      <c r="C346" s="2" t="str">
        <f>"NOS-122-C/15"</f>
        <v>NOS-122-C/15</v>
      </c>
      <c r="D346" s="2" t="s">
        <v>16</v>
      </c>
      <c r="E346" s="2" t="s">
        <v>17</v>
      </c>
      <c r="F346" s="2" t="s">
        <v>640</v>
      </c>
      <c r="G346" s="2" t="str">
        <f>"2015-2370"</f>
        <v>2015-2370</v>
      </c>
      <c r="H346" s="2" t="str">
        <f>"2016/S 003-0000186"</f>
        <v>2016/S 003-0000186</v>
      </c>
      <c r="I346" s="2" t="s">
        <v>19</v>
      </c>
      <c r="J346" s="3" t="str">
        <f>"200.000,00"</f>
        <v>200.000,00</v>
      </c>
      <c r="K346" s="2" t="s">
        <v>641</v>
      </c>
      <c r="L346" s="2" t="s">
        <v>642</v>
      </c>
      <c r="M346" s="2" t="s">
        <v>65</v>
      </c>
      <c r="N346" s="2" t="s">
        <v>23</v>
      </c>
      <c r="O346" s="3" t="str">
        <f>"23.415,60"</f>
        <v>23.415,60</v>
      </c>
      <c r="P346" s="4"/>
    </row>
    <row r="347" spans="2:16" ht="47.25" x14ac:dyDescent="0.25">
      <c r="B347" s="36">
        <v>212</v>
      </c>
      <c r="C347" s="36" t="str">
        <f>"NOS-70-C/15"</f>
        <v>NOS-70-C/15</v>
      </c>
      <c r="D347" s="36" t="s">
        <v>28</v>
      </c>
      <c r="E347" s="36" t="s">
        <v>17</v>
      </c>
      <c r="F347" s="36" t="s">
        <v>643</v>
      </c>
      <c r="G347" s="36" t="str">
        <f>"2015-2280"</f>
        <v>2015-2280</v>
      </c>
      <c r="H347" s="36" t="str">
        <f>"2015/S 003-0029569"</f>
        <v>2015/S 003-0029569</v>
      </c>
      <c r="I347" s="36" t="s">
        <v>19</v>
      </c>
      <c r="J347" s="38" t="str">
        <f>"50.000,00"</f>
        <v>50.000,00</v>
      </c>
      <c r="K347" s="36" t="s">
        <v>216</v>
      </c>
      <c r="L347" s="36" t="s">
        <v>217</v>
      </c>
      <c r="M347" s="6" t="s">
        <v>644</v>
      </c>
      <c r="N347" s="36" t="s">
        <v>23</v>
      </c>
      <c r="O347" s="38" t="str">
        <f>"0,00"</f>
        <v>0,00</v>
      </c>
      <c r="P347" s="50"/>
    </row>
    <row r="348" spans="2:16" ht="31.5" x14ac:dyDescent="0.25">
      <c r="B348" s="37"/>
      <c r="C348" s="37"/>
      <c r="D348" s="37"/>
      <c r="E348" s="37"/>
      <c r="F348" s="37"/>
      <c r="G348" s="37"/>
      <c r="H348" s="37"/>
      <c r="I348" s="37"/>
      <c r="J348" s="39"/>
      <c r="K348" s="37"/>
      <c r="L348" s="37"/>
      <c r="M348" s="8" t="s">
        <v>508</v>
      </c>
      <c r="N348" s="37"/>
      <c r="O348" s="39"/>
      <c r="P348" s="52"/>
    </row>
    <row r="349" spans="2:16" ht="78.75" x14ac:dyDescent="0.25">
      <c r="B349" s="2">
        <v>213</v>
      </c>
      <c r="C349" s="2" t="str">
        <f>"NOS-105-E/15"</f>
        <v>NOS-105-E/15</v>
      </c>
      <c r="D349" s="2" t="s">
        <v>16</v>
      </c>
      <c r="E349" s="2" t="s">
        <v>17</v>
      </c>
      <c r="F349" s="2" t="s">
        <v>645</v>
      </c>
      <c r="G349" s="2" t="str">
        <f>"2015-969"</f>
        <v>2015-969</v>
      </c>
      <c r="H349" s="2" t="str">
        <f>"2015/S 003-0033734"</f>
        <v>2015/S 003-0033734</v>
      </c>
      <c r="I349" s="2" t="s">
        <v>19</v>
      </c>
      <c r="J349" s="3" t="str">
        <f>"2.240.000,00"</f>
        <v>2.240.000,00</v>
      </c>
      <c r="K349" s="2" t="s">
        <v>516</v>
      </c>
      <c r="L349" s="2" t="s">
        <v>517</v>
      </c>
      <c r="M349" s="2" t="s">
        <v>153</v>
      </c>
      <c r="N349" s="2" t="s">
        <v>23</v>
      </c>
      <c r="O349" s="3" t="str">
        <f>"55.066,15"</f>
        <v>55.066,15</v>
      </c>
      <c r="P349" s="4"/>
    </row>
    <row r="350" spans="2:16" ht="78.75" x14ac:dyDescent="0.25">
      <c r="B350" s="2">
        <v>214</v>
      </c>
      <c r="C350" s="2" t="str">
        <f>"NOS-114-E/15"</f>
        <v>NOS-114-E/15</v>
      </c>
      <c r="D350" s="2" t="s">
        <v>16</v>
      </c>
      <c r="E350" s="2" t="s">
        <v>17</v>
      </c>
      <c r="F350" s="2" t="s">
        <v>646</v>
      </c>
      <c r="G350" s="2" t="str">
        <f>"2015-2283"</f>
        <v>2015-2283</v>
      </c>
      <c r="H350" s="2" t="str">
        <f>"2015/S 003-0038564"</f>
        <v>2015/S 003-0038564</v>
      </c>
      <c r="I350" s="2" t="s">
        <v>19</v>
      </c>
      <c r="J350" s="3" t="str">
        <f>"1.800.000,00"</f>
        <v>1.800.000,00</v>
      </c>
      <c r="K350" s="2" t="s">
        <v>460</v>
      </c>
      <c r="L350" s="2" t="s">
        <v>461</v>
      </c>
      <c r="M350" s="2" t="s">
        <v>62</v>
      </c>
      <c r="N350" s="2" t="s">
        <v>23</v>
      </c>
      <c r="O350" s="3" t="str">
        <f>"13.843,01"</f>
        <v>13.843,01</v>
      </c>
      <c r="P350" s="4"/>
    </row>
    <row r="351" spans="2:16" ht="63" x14ac:dyDescent="0.25">
      <c r="B351" s="2">
        <v>215</v>
      </c>
      <c r="C351" s="2" t="str">
        <f>"NOS-99-F/15"</f>
        <v>NOS-99-F/15</v>
      </c>
      <c r="D351" s="2" t="s">
        <v>16</v>
      </c>
      <c r="E351" s="2" t="s">
        <v>17</v>
      </c>
      <c r="F351" s="2" t="s">
        <v>647</v>
      </c>
      <c r="G351" s="2" t="str">
        <f>"2015-2236"</f>
        <v>2015-2236</v>
      </c>
      <c r="H351" s="2" t="str">
        <f>"2015/S  003-0030784"</f>
        <v>2015/S  003-0030784</v>
      </c>
      <c r="I351" s="2" t="s">
        <v>19</v>
      </c>
      <c r="J351" s="3" t="str">
        <f>"3.700.000,00"</f>
        <v>3.700.000,00</v>
      </c>
      <c r="K351" s="2" t="s">
        <v>155</v>
      </c>
      <c r="L351" s="2" t="s">
        <v>156</v>
      </c>
      <c r="M351" s="2" t="s">
        <v>62</v>
      </c>
      <c r="N351" s="2" t="s">
        <v>23</v>
      </c>
      <c r="O351" s="3" t="str">
        <f>"454.316,20"</f>
        <v>454.316,20</v>
      </c>
      <c r="P351" s="4"/>
    </row>
    <row r="352" spans="2:16" ht="31.5" x14ac:dyDescent="0.25">
      <c r="B352" s="36">
        <v>216</v>
      </c>
      <c r="C352" s="36" t="str">
        <f>"NOS-75-E/15"</f>
        <v>NOS-75-E/15</v>
      </c>
      <c r="D352" s="36" t="s">
        <v>214</v>
      </c>
      <c r="E352" s="36" t="s">
        <v>17</v>
      </c>
      <c r="F352" s="36" t="s">
        <v>648</v>
      </c>
      <c r="G352" s="36" t="str">
        <f>"2015-84"</f>
        <v>2015-84</v>
      </c>
      <c r="H352" s="36" t="str">
        <f>"2015/S 003-0038323"</f>
        <v>2015/S 003-0038323</v>
      </c>
      <c r="I352" s="36" t="s">
        <v>19</v>
      </c>
      <c r="J352" s="38" t="str">
        <f>"68.977,00"</f>
        <v>68.977,00</v>
      </c>
      <c r="K352" s="36" t="s">
        <v>263</v>
      </c>
      <c r="L352" s="36" t="s">
        <v>264</v>
      </c>
      <c r="M352" s="6" t="s">
        <v>649</v>
      </c>
      <c r="N352" s="36" t="s">
        <v>23</v>
      </c>
      <c r="O352" s="38" t="str">
        <f>"3.713,00"</f>
        <v>3.713,00</v>
      </c>
      <c r="P352" s="50"/>
    </row>
    <row r="353" spans="2:16" ht="31.5" x14ac:dyDescent="0.25">
      <c r="B353" s="48"/>
      <c r="C353" s="48"/>
      <c r="D353" s="48"/>
      <c r="E353" s="48"/>
      <c r="F353" s="48"/>
      <c r="G353" s="48"/>
      <c r="H353" s="48"/>
      <c r="I353" s="48"/>
      <c r="J353" s="49"/>
      <c r="K353" s="48"/>
      <c r="L353" s="48"/>
      <c r="M353" s="7" t="s">
        <v>612</v>
      </c>
      <c r="N353" s="48"/>
      <c r="O353" s="49"/>
      <c r="P353" s="51"/>
    </row>
    <row r="354" spans="2:16" ht="47.25" x14ac:dyDescent="0.25">
      <c r="B354" s="37"/>
      <c r="C354" s="37"/>
      <c r="D354" s="37"/>
      <c r="E354" s="37"/>
      <c r="F354" s="37"/>
      <c r="G354" s="37"/>
      <c r="H354" s="37"/>
      <c r="I354" s="37"/>
      <c r="J354" s="39"/>
      <c r="K354" s="37"/>
      <c r="L354" s="37"/>
      <c r="M354" s="8" t="s">
        <v>650</v>
      </c>
      <c r="N354" s="37"/>
      <c r="O354" s="39"/>
      <c r="P354" s="52"/>
    </row>
    <row r="355" spans="2:16" ht="63" x14ac:dyDescent="0.25">
      <c r="B355" s="2">
        <v>217</v>
      </c>
      <c r="C355" s="2" t="str">
        <f>"NOS-82-F/15"</f>
        <v>NOS-82-F/15</v>
      </c>
      <c r="D355" s="2" t="s">
        <v>16</v>
      </c>
      <c r="E355" s="2" t="s">
        <v>17</v>
      </c>
      <c r="F355" s="2" t="s">
        <v>651</v>
      </c>
      <c r="G355" s="2" t="str">
        <f>"2015-2197"</f>
        <v>2015-2197</v>
      </c>
      <c r="H355" s="2" t="str">
        <f>"2015/S 003-0030364"</f>
        <v>2015/S 003-0030364</v>
      </c>
      <c r="I355" s="2" t="s">
        <v>19</v>
      </c>
      <c r="J355" s="3" t="str">
        <f>"5.000.000,00"</f>
        <v>5.000.000,00</v>
      </c>
      <c r="K355" s="2" t="s">
        <v>207</v>
      </c>
      <c r="L355" s="2" t="s">
        <v>208</v>
      </c>
      <c r="M355" s="2" t="s">
        <v>234</v>
      </c>
      <c r="N355" s="2" t="s">
        <v>23</v>
      </c>
      <c r="O355" s="3" t="str">
        <f>"707.040,60"</f>
        <v>707.040,60</v>
      </c>
      <c r="P355" s="4"/>
    </row>
    <row r="356" spans="2:16" ht="47.25" x14ac:dyDescent="0.25">
      <c r="B356" s="36">
        <v>218</v>
      </c>
      <c r="C356" s="36" t="str">
        <f>"NOS-121-A/14"</f>
        <v>NOS-121-A/14</v>
      </c>
      <c r="D356" s="36" t="s">
        <v>28</v>
      </c>
      <c r="E356" s="36" t="s">
        <v>17</v>
      </c>
      <c r="F356" s="36" t="s">
        <v>652</v>
      </c>
      <c r="G356" s="36" t="str">
        <f>"2014-2466"</f>
        <v>2014-2466</v>
      </c>
      <c r="H356" s="36" t="str">
        <f>"2015/S 003-0023209"</f>
        <v>2015/S 003-0023209</v>
      </c>
      <c r="I356" s="36" t="s">
        <v>19</v>
      </c>
      <c r="J356" s="38" t="str">
        <f>"4.200.000,00"</f>
        <v>4.200.000,00</v>
      </c>
      <c r="K356" s="36" t="s">
        <v>82</v>
      </c>
      <c r="L356" s="36" t="s">
        <v>83</v>
      </c>
      <c r="M356" s="6" t="s">
        <v>598</v>
      </c>
      <c r="N356" s="36" t="s">
        <v>23</v>
      </c>
      <c r="O356" s="38" t="str">
        <f>"53.494,03"</f>
        <v>53.494,03</v>
      </c>
      <c r="P356" s="50"/>
    </row>
    <row r="357" spans="2:16" ht="47.25" x14ac:dyDescent="0.25">
      <c r="B357" s="48"/>
      <c r="C357" s="48"/>
      <c r="D357" s="48"/>
      <c r="E357" s="48"/>
      <c r="F357" s="48"/>
      <c r="G357" s="48"/>
      <c r="H357" s="48"/>
      <c r="I357" s="48"/>
      <c r="J357" s="49"/>
      <c r="K357" s="48"/>
      <c r="L357" s="48"/>
      <c r="M357" s="7" t="s">
        <v>599</v>
      </c>
      <c r="N357" s="48"/>
      <c r="O357" s="49"/>
      <c r="P357" s="51"/>
    </row>
    <row r="358" spans="2:16" ht="31.5" x14ac:dyDescent="0.25">
      <c r="B358" s="37"/>
      <c r="C358" s="37"/>
      <c r="D358" s="37"/>
      <c r="E358" s="37"/>
      <c r="F358" s="37"/>
      <c r="G358" s="37"/>
      <c r="H358" s="37"/>
      <c r="I358" s="37"/>
      <c r="J358" s="39"/>
      <c r="K358" s="37"/>
      <c r="L358" s="37"/>
      <c r="M358" s="8" t="s">
        <v>84</v>
      </c>
      <c r="N358" s="37"/>
      <c r="O358" s="39"/>
      <c r="P358" s="52"/>
    </row>
    <row r="359" spans="2:16" ht="31.5" x14ac:dyDescent="0.25">
      <c r="B359" s="36">
        <v>219</v>
      </c>
      <c r="C359" s="36" t="str">
        <f>"NOS-115-C/15"</f>
        <v>NOS-115-C/15</v>
      </c>
      <c r="D359" s="36" t="s">
        <v>446</v>
      </c>
      <c r="E359" s="36" t="s">
        <v>17</v>
      </c>
      <c r="F359" s="36" t="s">
        <v>653</v>
      </c>
      <c r="G359" s="36" t="str">
        <f>"2015-620"</f>
        <v>2015-620</v>
      </c>
      <c r="H359" s="36" t="str">
        <f>"2015/S 003-0034269"</f>
        <v>2015/S 003-0034269</v>
      </c>
      <c r="I359" s="36" t="s">
        <v>19</v>
      </c>
      <c r="J359" s="38" t="str">
        <f>"100.000,00"</f>
        <v>100.000,00</v>
      </c>
      <c r="K359" s="36" t="s">
        <v>448</v>
      </c>
      <c r="L359" s="36" t="s">
        <v>449</v>
      </c>
      <c r="M359" s="6" t="s">
        <v>450</v>
      </c>
      <c r="N359" s="36" t="s">
        <v>23</v>
      </c>
      <c r="O359" s="38" t="str">
        <f>"2.100,00"</f>
        <v>2.100,00</v>
      </c>
      <c r="P359" s="50"/>
    </row>
    <row r="360" spans="2:16" ht="31.5" x14ac:dyDescent="0.25">
      <c r="B360" s="37"/>
      <c r="C360" s="37"/>
      <c r="D360" s="37"/>
      <c r="E360" s="37"/>
      <c r="F360" s="37"/>
      <c r="G360" s="37"/>
      <c r="H360" s="37"/>
      <c r="I360" s="37"/>
      <c r="J360" s="39"/>
      <c r="K360" s="37"/>
      <c r="L360" s="37"/>
      <c r="M360" s="8" t="s">
        <v>452</v>
      </c>
      <c r="N360" s="37"/>
      <c r="O360" s="39"/>
      <c r="P360" s="52"/>
    </row>
    <row r="361" spans="2:16" ht="31.5" x14ac:dyDescent="0.25">
      <c r="B361" s="36">
        <v>220</v>
      </c>
      <c r="C361" s="36" t="str">
        <f>"NOS-122-D/15"</f>
        <v>NOS-122-D/15</v>
      </c>
      <c r="D361" s="36" t="s">
        <v>16</v>
      </c>
      <c r="E361" s="36" t="s">
        <v>17</v>
      </c>
      <c r="F361" s="36" t="s">
        <v>654</v>
      </c>
      <c r="G361" s="36" t="str">
        <f>"2015-2370"</f>
        <v>2015-2370</v>
      </c>
      <c r="H361" s="36" t="str">
        <f>"2016/S 003-0000186"</f>
        <v>2016/S 003-0000186</v>
      </c>
      <c r="I361" s="36" t="s">
        <v>19</v>
      </c>
      <c r="J361" s="38" t="str">
        <f>"400.000,00"</f>
        <v>400.000,00</v>
      </c>
      <c r="K361" s="36" t="s">
        <v>472</v>
      </c>
      <c r="L361" s="36" t="s">
        <v>473</v>
      </c>
      <c r="M361" s="6" t="s">
        <v>65</v>
      </c>
      <c r="N361" s="36" t="s">
        <v>23</v>
      </c>
      <c r="O361" s="38" t="str">
        <f>"0,00"</f>
        <v>0,00</v>
      </c>
      <c r="P361" s="50"/>
    </row>
    <row r="362" spans="2:16" ht="31.5" x14ac:dyDescent="0.25">
      <c r="B362" s="37"/>
      <c r="C362" s="37"/>
      <c r="D362" s="37"/>
      <c r="E362" s="37"/>
      <c r="F362" s="37"/>
      <c r="G362" s="37"/>
      <c r="H362" s="37"/>
      <c r="I362" s="37"/>
      <c r="J362" s="39"/>
      <c r="K362" s="37"/>
      <c r="L362" s="37"/>
      <c r="M362" s="8" t="s">
        <v>111</v>
      </c>
      <c r="N362" s="37"/>
      <c r="O362" s="39"/>
      <c r="P362" s="52"/>
    </row>
    <row r="363" spans="2:16" ht="31.5" x14ac:dyDescent="0.25">
      <c r="B363" s="36">
        <v>221</v>
      </c>
      <c r="C363" s="36" t="str">
        <f>"NOS-92-C/15"</f>
        <v>NOS-92-C/15</v>
      </c>
      <c r="D363" s="36" t="s">
        <v>16</v>
      </c>
      <c r="E363" s="36" t="s">
        <v>17</v>
      </c>
      <c r="F363" s="36" t="s">
        <v>655</v>
      </c>
      <c r="G363" s="36" t="str">
        <f>"2015-358"</f>
        <v>2015-358</v>
      </c>
      <c r="H363" s="36" t="str">
        <f>" 2015/S 003-0032801"</f>
        <v xml:space="preserve"> 2015/S 003-0032801</v>
      </c>
      <c r="I363" s="36" t="s">
        <v>19</v>
      </c>
      <c r="J363" s="38" t="str">
        <f>"100.000,00"</f>
        <v>100.000,00</v>
      </c>
      <c r="K363" s="36" t="s">
        <v>155</v>
      </c>
      <c r="L363" s="36" t="s">
        <v>156</v>
      </c>
      <c r="M363" s="6" t="s">
        <v>187</v>
      </c>
      <c r="N363" s="36" t="s">
        <v>23</v>
      </c>
      <c r="O363" s="38" t="str">
        <f>"19.176,00"</f>
        <v>19.176,00</v>
      </c>
      <c r="P363" s="50"/>
    </row>
    <row r="364" spans="2:16" ht="31.5" x14ac:dyDescent="0.25">
      <c r="B364" s="48"/>
      <c r="C364" s="48"/>
      <c r="D364" s="48"/>
      <c r="E364" s="48"/>
      <c r="F364" s="48"/>
      <c r="G364" s="48"/>
      <c r="H364" s="48"/>
      <c r="I364" s="48"/>
      <c r="J364" s="49"/>
      <c r="K364" s="48"/>
      <c r="L364" s="48"/>
      <c r="M364" s="7" t="s">
        <v>590</v>
      </c>
      <c r="N364" s="48"/>
      <c r="O364" s="49"/>
      <c r="P364" s="51"/>
    </row>
    <row r="365" spans="2:16" ht="31.5" x14ac:dyDescent="0.25">
      <c r="B365" s="37"/>
      <c r="C365" s="37"/>
      <c r="D365" s="37"/>
      <c r="E365" s="37"/>
      <c r="F365" s="37"/>
      <c r="G365" s="37"/>
      <c r="H365" s="37"/>
      <c r="I365" s="37"/>
      <c r="J365" s="39"/>
      <c r="K365" s="37"/>
      <c r="L365" s="37"/>
      <c r="M365" s="8" t="s">
        <v>186</v>
      </c>
      <c r="N365" s="37"/>
      <c r="O365" s="39"/>
      <c r="P365" s="52"/>
    </row>
    <row r="366" spans="2:16" ht="94.5" x14ac:dyDescent="0.25">
      <c r="B366" s="2">
        <v>222</v>
      </c>
      <c r="C366" s="2" t="str">
        <f>"NOS-105-F/15"</f>
        <v>NOS-105-F/15</v>
      </c>
      <c r="D366" s="2" t="s">
        <v>16</v>
      </c>
      <c r="E366" s="2" t="s">
        <v>17</v>
      </c>
      <c r="F366" s="2" t="s">
        <v>656</v>
      </c>
      <c r="G366" s="2" t="str">
        <f>"2015-969"</f>
        <v>2015-969</v>
      </c>
      <c r="H366" s="2" t="str">
        <f>"2015/S 003-0033734"</f>
        <v>2015/S 003-0033734</v>
      </c>
      <c r="I366" s="2" t="s">
        <v>19</v>
      </c>
      <c r="J366" s="3" t="str">
        <f>"1.470.000,00"</f>
        <v>1.470.000,00</v>
      </c>
      <c r="K366" s="2" t="s">
        <v>657</v>
      </c>
      <c r="L366" s="2" t="s">
        <v>658</v>
      </c>
      <c r="M366" s="2" t="s">
        <v>62</v>
      </c>
      <c r="N366" s="2" t="s">
        <v>23</v>
      </c>
      <c r="O366" s="3" t="str">
        <f>"79.946,31"</f>
        <v>79.946,31</v>
      </c>
      <c r="P366" s="4"/>
    </row>
    <row r="367" spans="2:16" ht="78.75" x14ac:dyDescent="0.25">
      <c r="B367" s="2">
        <v>223</v>
      </c>
      <c r="C367" s="2" t="str">
        <f>"NOS-114-F/15"</f>
        <v>NOS-114-F/15</v>
      </c>
      <c r="D367" s="2" t="s">
        <v>16</v>
      </c>
      <c r="E367" s="2" t="s">
        <v>17</v>
      </c>
      <c r="F367" s="2" t="s">
        <v>659</v>
      </c>
      <c r="G367" s="2" t="str">
        <f>"2015-2283"</f>
        <v>2015-2283</v>
      </c>
      <c r="H367" s="2" t="str">
        <f>"2015/S 003-0038564"</f>
        <v>2015/S 003-0038564</v>
      </c>
      <c r="I367" s="2" t="s">
        <v>19</v>
      </c>
      <c r="J367" s="3" t="str">
        <f>"600.000,00"</f>
        <v>600.000,00</v>
      </c>
      <c r="K367" s="2" t="s">
        <v>460</v>
      </c>
      <c r="L367" s="2" t="s">
        <v>461</v>
      </c>
      <c r="M367" s="2" t="s">
        <v>234</v>
      </c>
      <c r="N367" s="2" t="s">
        <v>23</v>
      </c>
      <c r="O367" s="3" t="str">
        <f>"24.641,80"</f>
        <v>24.641,80</v>
      </c>
      <c r="P367" s="4"/>
    </row>
    <row r="368" spans="2:16" ht="47.25" x14ac:dyDescent="0.25">
      <c r="B368" s="36">
        <v>224</v>
      </c>
      <c r="C368" s="36" t="str">
        <f>"NOS-83-B/15"</f>
        <v>NOS-83-B/15</v>
      </c>
      <c r="D368" s="36" t="s">
        <v>242</v>
      </c>
      <c r="E368" s="36" t="s">
        <v>17</v>
      </c>
      <c r="F368" s="36" t="s">
        <v>660</v>
      </c>
      <c r="G368" s="36" t="str">
        <f>"2015-1869"</f>
        <v>2015-1869</v>
      </c>
      <c r="H368" s="36" t="str">
        <f>"2015/S 003-0033478"</f>
        <v>2015/S 003-0033478</v>
      </c>
      <c r="I368" s="36" t="s">
        <v>19</v>
      </c>
      <c r="J368" s="38" t="str">
        <f>"20.000,00"</f>
        <v>20.000,00</v>
      </c>
      <c r="K368" s="36" t="s">
        <v>232</v>
      </c>
      <c r="L368" s="36" t="s">
        <v>233</v>
      </c>
      <c r="M368" s="6" t="s">
        <v>75</v>
      </c>
      <c r="N368" s="36" t="s">
        <v>23</v>
      </c>
      <c r="O368" s="38" t="str">
        <f>"1.298,00"</f>
        <v>1.298,00</v>
      </c>
      <c r="P368" s="50"/>
    </row>
    <row r="369" spans="2:16" ht="31.5" x14ac:dyDescent="0.25">
      <c r="B369" s="48"/>
      <c r="C369" s="48"/>
      <c r="D369" s="48"/>
      <c r="E369" s="48"/>
      <c r="F369" s="48"/>
      <c r="G369" s="48"/>
      <c r="H369" s="48"/>
      <c r="I369" s="48"/>
      <c r="J369" s="49"/>
      <c r="K369" s="48"/>
      <c r="L369" s="48"/>
      <c r="M369" s="7" t="s">
        <v>65</v>
      </c>
      <c r="N369" s="48"/>
      <c r="O369" s="49"/>
      <c r="P369" s="51"/>
    </row>
    <row r="370" spans="2:16" ht="15.75" x14ac:dyDescent="0.25">
      <c r="B370" s="48"/>
      <c r="C370" s="48"/>
      <c r="D370" s="48"/>
      <c r="E370" s="48"/>
      <c r="F370" s="48"/>
      <c r="G370" s="48"/>
      <c r="H370" s="48"/>
      <c r="I370" s="48"/>
      <c r="J370" s="49"/>
      <c r="K370" s="48"/>
      <c r="L370" s="48"/>
      <c r="M370" s="7" t="s">
        <v>61</v>
      </c>
      <c r="N370" s="48"/>
      <c r="O370" s="49"/>
      <c r="P370" s="51"/>
    </row>
    <row r="371" spans="2:16" ht="31.5" x14ac:dyDescent="0.25">
      <c r="B371" s="37"/>
      <c r="C371" s="37"/>
      <c r="D371" s="37"/>
      <c r="E371" s="37"/>
      <c r="F371" s="37"/>
      <c r="G371" s="37"/>
      <c r="H371" s="37"/>
      <c r="I371" s="37"/>
      <c r="J371" s="39"/>
      <c r="K371" s="37"/>
      <c r="L371" s="37"/>
      <c r="M371" s="8" t="s">
        <v>661</v>
      </c>
      <c r="N371" s="37"/>
      <c r="O371" s="39"/>
      <c r="P371" s="52"/>
    </row>
    <row r="372" spans="2:16" ht="63" x14ac:dyDescent="0.25">
      <c r="B372" s="2">
        <v>225</v>
      </c>
      <c r="C372" s="2" t="str">
        <f>"NOS-99-G/15"</f>
        <v>NOS-99-G/15</v>
      </c>
      <c r="D372" s="2" t="s">
        <v>16</v>
      </c>
      <c r="E372" s="2" t="s">
        <v>17</v>
      </c>
      <c r="F372" s="2" t="s">
        <v>662</v>
      </c>
      <c r="G372" s="2" t="str">
        <f>"2015-2236"</f>
        <v>2015-2236</v>
      </c>
      <c r="H372" s="2" t="str">
        <f>"2015/S  003-0030784"</f>
        <v>2015/S  003-0030784</v>
      </c>
      <c r="I372" s="2" t="s">
        <v>19</v>
      </c>
      <c r="J372" s="3" t="str">
        <f>"2.500.000,00"</f>
        <v>2.500.000,00</v>
      </c>
      <c r="K372" s="2" t="s">
        <v>155</v>
      </c>
      <c r="L372" s="2" t="s">
        <v>156</v>
      </c>
      <c r="M372" s="2" t="s">
        <v>663</v>
      </c>
      <c r="N372" s="2" t="s">
        <v>23</v>
      </c>
      <c r="O372" s="3" t="str">
        <f>"183.563,44"</f>
        <v>183.563,44</v>
      </c>
      <c r="P372" s="4"/>
    </row>
    <row r="373" spans="2:16" ht="63" x14ac:dyDescent="0.25">
      <c r="B373" s="2">
        <v>226</v>
      </c>
      <c r="C373" s="2" t="str">
        <f>"NOS-82-H/15"</f>
        <v>NOS-82-H/15</v>
      </c>
      <c r="D373" s="2" t="s">
        <v>16</v>
      </c>
      <c r="E373" s="2" t="s">
        <v>17</v>
      </c>
      <c r="F373" s="2" t="s">
        <v>664</v>
      </c>
      <c r="G373" s="2" t="str">
        <f>"2015-2197"</f>
        <v>2015-2197</v>
      </c>
      <c r="H373" s="2" t="str">
        <f>"2015/S 003-0030364"</f>
        <v>2015/S 003-0030364</v>
      </c>
      <c r="I373" s="2" t="s">
        <v>19</v>
      </c>
      <c r="J373" s="3" t="str">
        <f>"3.000.000,00"</f>
        <v>3.000.000,00</v>
      </c>
      <c r="K373" s="2" t="s">
        <v>207</v>
      </c>
      <c r="L373" s="2" t="s">
        <v>208</v>
      </c>
      <c r="M373" s="2" t="s">
        <v>234</v>
      </c>
      <c r="N373" s="2" t="s">
        <v>23</v>
      </c>
      <c r="O373" s="3" t="str">
        <f>"481.934,90"</f>
        <v>481.934,90</v>
      </c>
      <c r="P373" s="4"/>
    </row>
    <row r="374" spans="2:16" ht="47.25" x14ac:dyDescent="0.25">
      <c r="B374" s="36">
        <v>227</v>
      </c>
      <c r="C374" s="36" t="str">
        <f>"NOS-70-D/15"</f>
        <v>NOS-70-D/15</v>
      </c>
      <c r="D374" s="36" t="s">
        <v>28</v>
      </c>
      <c r="E374" s="36" t="s">
        <v>17</v>
      </c>
      <c r="F374" s="36" t="s">
        <v>665</v>
      </c>
      <c r="G374" s="36" t="str">
        <f>"2015-2280"</f>
        <v>2015-2280</v>
      </c>
      <c r="H374" s="36" t="str">
        <f>"2015/S 003-0029569"</f>
        <v>2015/S 003-0029569</v>
      </c>
      <c r="I374" s="36" t="s">
        <v>19</v>
      </c>
      <c r="J374" s="38" t="str">
        <f>"200.000,00"</f>
        <v>200.000,00</v>
      </c>
      <c r="K374" s="36" t="s">
        <v>216</v>
      </c>
      <c r="L374" s="36" t="s">
        <v>217</v>
      </c>
      <c r="M374" s="6" t="s">
        <v>644</v>
      </c>
      <c r="N374" s="36" t="s">
        <v>23</v>
      </c>
      <c r="O374" s="38" t="str">
        <f>"32.915,00"</f>
        <v>32.915,00</v>
      </c>
      <c r="P374" s="50"/>
    </row>
    <row r="375" spans="2:16" ht="31.5" x14ac:dyDescent="0.25">
      <c r="B375" s="37"/>
      <c r="C375" s="37"/>
      <c r="D375" s="37"/>
      <c r="E375" s="37"/>
      <c r="F375" s="37"/>
      <c r="G375" s="37"/>
      <c r="H375" s="37"/>
      <c r="I375" s="37"/>
      <c r="J375" s="39"/>
      <c r="K375" s="37"/>
      <c r="L375" s="37"/>
      <c r="M375" s="8" t="s">
        <v>508</v>
      </c>
      <c r="N375" s="37"/>
      <c r="O375" s="39"/>
      <c r="P375" s="52"/>
    </row>
    <row r="376" spans="2:16" ht="63" x14ac:dyDescent="0.25">
      <c r="B376" s="2">
        <v>228</v>
      </c>
      <c r="C376" s="2" t="str">
        <f>"NOS-105-G/15"</f>
        <v>NOS-105-G/15</v>
      </c>
      <c r="D376" s="2" t="s">
        <v>16</v>
      </c>
      <c r="E376" s="2" t="s">
        <v>17</v>
      </c>
      <c r="F376" s="2" t="s">
        <v>666</v>
      </c>
      <c r="G376" s="2" t="str">
        <f>"2015-969"</f>
        <v>2015-969</v>
      </c>
      <c r="H376" s="2" t="str">
        <f>"2015/S 003-0033734"</f>
        <v>2015/S 003-0033734</v>
      </c>
      <c r="I376" s="2" t="s">
        <v>19</v>
      </c>
      <c r="J376" s="3" t="str">
        <f>"1.370.000,00"</f>
        <v>1.370.000,00</v>
      </c>
      <c r="K376" s="2" t="s">
        <v>514</v>
      </c>
      <c r="L376" s="2" t="s">
        <v>608</v>
      </c>
      <c r="M376" s="2" t="s">
        <v>153</v>
      </c>
      <c r="N376" s="2" t="s">
        <v>23</v>
      </c>
      <c r="O376" s="3" t="str">
        <f>"11.715,70"</f>
        <v>11.715,70</v>
      </c>
      <c r="P376" s="4"/>
    </row>
    <row r="377" spans="2:16" ht="31.5" x14ac:dyDescent="0.25">
      <c r="B377" s="36">
        <v>229</v>
      </c>
      <c r="C377" s="36" t="str">
        <f>"NOS-96-C/15"</f>
        <v>NOS-96-C/15</v>
      </c>
      <c r="D377" s="36" t="s">
        <v>16</v>
      </c>
      <c r="E377" s="36" t="s">
        <v>17</v>
      </c>
      <c r="F377" s="36" t="s">
        <v>667</v>
      </c>
      <c r="G377" s="36" t="str">
        <f>"2015-2275"</f>
        <v>2015-2275</v>
      </c>
      <c r="H377" s="36" t="str">
        <f>"2015/S 003-0033469"</f>
        <v>2015/S 003-0033469</v>
      </c>
      <c r="I377" s="36" t="s">
        <v>19</v>
      </c>
      <c r="J377" s="38" t="str">
        <f>"89.000,00"</f>
        <v>89.000,00</v>
      </c>
      <c r="K377" s="36" t="s">
        <v>526</v>
      </c>
      <c r="L377" s="36" t="s">
        <v>527</v>
      </c>
      <c r="M377" s="6" t="s">
        <v>62</v>
      </c>
      <c r="N377" s="36" t="s">
        <v>23</v>
      </c>
      <c r="O377" s="38" t="str">
        <f>"18.787,00"</f>
        <v>18.787,00</v>
      </c>
      <c r="P377" s="50"/>
    </row>
    <row r="378" spans="2:16" ht="63" x14ac:dyDescent="0.25">
      <c r="B378" s="48"/>
      <c r="C378" s="48"/>
      <c r="D378" s="48"/>
      <c r="E378" s="48"/>
      <c r="F378" s="48"/>
      <c r="G378" s="48"/>
      <c r="H378" s="48"/>
      <c r="I378" s="48"/>
      <c r="J378" s="49"/>
      <c r="K378" s="48"/>
      <c r="L378" s="48"/>
      <c r="M378" s="7" t="s">
        <v>64</v>
      </c>
      <c r="N378" s="48"/>
      <c r="O378" s="49"/>
      <c r="P378" s="51"/>
    </row>
    <row r="379" spans="2:16" ht="47.25" x14ac:dyDescent="0.25">
      <c r="B379" s="37"/>
      <c r="C379" s="37"/>
      <c r="D379" s="37"/>
      <c r="E379" s="37"/>
      <c r="F379" s="37"/>
      <c r="G379" s="37"/>
      <c r="H379" s="37"/>
      <c r="I379" s="37"/>
      <c r="J379" s="39"/>
      <c r="K379" s="37"/>
      <c r="L379" s="37"/>
      <c r="M379" s="8" t="s">
        <v>528</v>
      </c>
      <c r="N379" s="37"/>
      <c r="O379" s="39"/>
      <c r="P379" s="52"/>
    </row>
    <row r="380" spans="2:16" ht="63" x14ac:dyDescent="0.25">
      <c r="B380" s="2">
        <v>230</v>
      </c>
      <c r="C380" s="2" t="str">
        <f>"NOS-114-G/15"</f>
        <v>NOS-114-G/15</v>
      </c>
      <c r="D380" s="2" t="s">
        <v>16</v>
      </c>
      <c r="E380" s="2" t="s">
        <v>17</v>
      </c>
      <c r="F380" s="2" t="s">
        <v>668</v>
      </c>
      <c r="G380" s="2" t="str">
        <f>"2015-2283"</f>
        <v>2015-2283</v>
      </c>
      <c r="H380" s="2" t="str">
        <f>"2015/S 003-0038564"</f>
        <v>2015/S 003-0038564</v>
      </c>
      <c r="I380" s="2" t="s">
        <v>19</v>
      </c>
      <c r="J380" s="3" t="str">
        <f>"250.000,00"</f>
        <v>250.000,00</v>
      </c>
      <c r="K380" s="2" t="s">
        <v>460</v>
      </c>
      <c r="L380" s="2" t="s">
        <v>461</v>
      </c>
      <c r="M380" s="2" t="s">
        <v>234</v>
      </c>
      <c r="N380" s="2" t="s">
        <v>23</v>
      </c>
      <c r="O380" s="3" t="str">
        <f>"5.287,10"</f>
        <v>5.287,10</v>
      </c>
      <c r="P380" s="4"/>
    </row>
    <row r="381" spans="2:16" ht="94.5" x14ac:dyDescent="0.25">
      <c r="B381" s="2">
        <v>231</v>
      </c>
      <c r="C381" s="2" t="str">
        <f>"NOS-100-C/15"</f>
        <v>NOS-100-C/15</v>
      </c>
      <c r="D381" s="2" t="s">
        <v>242</v>
      </c>
      <c r="E381" s="2" t="s">
        <v>17</v>
      </c>
      <c r="F381" s="2" t="s">
        <v>669</v>
      </c>
      <c r="G381" s="2" t="str">
        <f>"2015-1651"</f>
        <v>2015-1651</v>
      </c>
      <c r="H381" s="2" t="str">
        <f>"2015/S 003-0034979"</f>
        <v>2015/S 003-0034979</v>
      </c>
      <c r="I381" s="2" t="s">
        <v>19</v>
      </c>
      <c r="J381" s="3" t="str">
        <f>"100.000,00"</f>
        <v>100.000,00</v>
      </c>
      <c r="K381" s="2" t="s">
        <v>426</v>
      </c>
      <c r="L381" s="2" t="s">
        <v>427</v>
      </c>
      <c r="M381" s="2" t="s">
        <v>44</v>
      </c>
      <c r="N381" s="2" t="s">
        <v>23</v>
      </c>
      <c r="O381" s="3" t="str">
        <f>"21.572,80"</f>
        <v>21.572,80</v>
      </c>
      <c r="P381" s="4"/>
    </row>
    <row r="382" spans="2:16" ht="63" x14ac:dyDescent="0.25">
      <c r="B382" s="2">
        <v>232</v>
      </c>
      <c r="C382" s="2" t="str">
        <f>"NOS-99-H/15"</f>
        <v>NOS-99-H/15</v>
      </c>
      <c r="D382" s="2" t="s">
        <v>16</v>
      </c>
      <c r="E382" s="2" t="s">
        <v>17</v>
      </c>
      <c r="F382" s="2" t="s">
        <v>670</v>
      </c>
      <c r="G382" s="2" t="str">
        <f>"2015-2236"</f>
        <v>2015-2236</v>
      </c>
      <c r="H382" s="2" t="str">
        <f>"2015/S  003-0030784"</f>
        <v>2015/S  003-0030784</v>
      </c>
      <c r="I382" s="2" t="s">
        <v>19</v>
      </c>
      <c r="J382" s="3" t="str">
        <f>"3.800.000,00"</f>
        <v>3.800.000,00</v>
      </c>
      <c r="K382" s="2" t="s">
        <v>155</v>
      </c>
      <c r="L382" s="2" t="s">
        <v>156</v>
      </c>
      <c r="M382" s="2" t="s">
        <v>62</v>
      </c>
      <c r="N382" s="2" t="s">
        <v>23</v>
      </c>
      <c r="O382" s="3" t="str">
        <f>"458.061,09"</f>
        <v>458.061,09</v>
      </c>
      <c r="P382" s="4"/>
    </row>
    <row r="383" spans="2:16" ht="63" x14ac:dyDescent="0.25">
      <c r="B383" s="2">
        <v>233</v>
      </c>
      <c r="C383" s="2" t="str">
        <f>"NOS-82-A/15"</f>
        <v>NOS-82-A/15</v>
      </c>
      <c r="D383" s="2" t="s">
        <v>16</v>
      </c>
      <c r="E383" s="2" t="s">
        <v>17</v>
      </c>
      <c r="F383" s="2" t="s">
        <v>671</v>
      </c>
      <c r="G383" s="2" t="str">
        <f>"2015-2197"</f>
        <v>2015-2197</v>
      </c>
      <c r="H383" s="2" t="str">
        <f>"2015/S 003-0030364"</f>
        <v>2015/S 003-0030364</v>
      </c>
      <c r="I383" s="2" t="s">
        <v>19</v>
      </c>
      <c r="J383" s="3" t="str">
        <f>"3.200.000,00"</f>
        <v>3.200.000,00</v>
      </c>
      <c r="K383" s="2" t="s">
        <v>440</v>
      </c>
      <c r="L383" s="2" t="s">
        <v>441</v>
      </c>
      <c r="M383" s="2" t="s">
        <v>64</v>
      </c>
      <c r="N383" s="2" t="s">
        <v>23</v>
      </c>
      <c r="O383" s="3" t="str">
        <f>"529.820,00"</f>
        <v>529.820,00</v>
      </c>
      <c r="P383" s="4"/>
    </row>
    <row r="384" spans="2:16" ht="78.75" x14ac:dyDescent="0.25">
      <c r="B384" s="2">
        <v>234</v>
      </c>
      <c r="C384" s="2" t="str">
        <f>"NOS-115-D/15"</f>
        <v>NOS-115-D/15</v>
      </c>
      <c r="D384" s="2" t="s">
        <v>446</v>
      </c>
      <c r="E384" s="2" t="s">
        <v>17</v>
      </c>
      <c r="F384" s="2" t="s">
        <v>672</v>
      </c>
      <c r="G384" s="2" t="str">
        <f>"2015-620"</f>
        <v>2015-620</v>
      </c>
      <c r="H384" s="2" t="str">
        <f>"2015/S 003-0034269"</f>
        <v>2015/S 003-0034269</v>
      </c>
      <c r="I384" s="2" t="s">
        <v>19</v>
      </c>
      <c r="J384" s="3" t="str">
        <f>"165.000,00"</f>
        <v>165.000,00</v>
      </c>
      <c r="K384" s="2" t="s">
        <v>448</v>
      </c>
      <c r="L384" s="2" t="s">
        <v>449</v>
      </c>
      <c r="M384" s="2" t="s">
        <v>452</v>
      </c>
      <c r="N384" s="2" t="s">
        <v>23</v>
      </c>
      <c r="O384" s="3" t="str">
        <f>"0,00"</f>
        <v>0,00</v>
      </c>
      <c r="P384" s="4"/>
    </row>
    <row r="385" spans="2:16" ht="63" x14ac:dyDescent="0.25">
      <c r="B385" s="2">
        <v>235</v>
      </c>
      <c r="C385" s="2" t="str">
        <f>"NOS-99-D/15"</f>
        <v>NOS-99-D/15</v>
      </c>
      <c r="D385" s="2" t="s">
        <v>16</v>
      </c>
      <c r="E385" s="2" t="s">
        <v>17</v>
      </c>
      <c r="F385" s="2" t="s">
        <v>673</v>
      </c>
      <c r="G385" s="2" t="str">
        <f>"2015-2236"</f>
        <v>2015-2236</v>
      </c>
      <c r="H385" s="2" t="str">
        <f>"2015/S  003-0030784"</f>
        <v>2015/S  003-0030784</v>
      </c>
      <c r="I385" s="2" t="s">
        <v>19</v>
      </c>
      <c r="J385" s="3" t="str">
        <f>"3.500.000,00"</f>
        <v>3.500.000,00</v>
      </c>
      <c r="K385" s="2" t="s">
        <v>674</v>
      </c>
      <c r="L385" s="2" t="s">
        <v>675</v>
      </c>
      <c r="M385" s="2" t="s">
        <v>663</v>
      </c>
      <c r="N385" s="2" t="s">
        <v>23</v>
      </c>
      <c r="O385" s="3" t="str">
        <f>"438.227,86"</f>
        <v>438.227,86</v>
      </c>
      <c r="P385" s="4"/>
    </row>
    <row r="386" spans="2:16" ht="31.5" x14ac:dyDescent="0.25">
      <c r="B386" s="36">
        <v>236</v>
      </c>
      <c r="C386" s="36" t="str">
        <f>"NOS-75-G/15"</f>
        <v>NOS-75-G/15</v>
      </c>
      <c r="D386" s="36" t="s">
        <v>214</v>
      </c>
      <c r="E386" s="36" t="s">
        <v>17</v>
      </c>
      <c r="F386" s="36" t="s">
        <v>676</v>
      </c>
      <c r="G386" s="36" t="str">
        <f>"2015-84"</f>
        <v>2015-84</v>
      </c>
      <c r="H386" s="36" t="str">
        <f>"2015/S 003-0038323"</f>
        <v>2015/S 003-0038323</v>
      </c>
      <c r="I386" s="36" t="s">
        <v>19</v>
      </c>
      <c r="J386" s="38" t="str">
        <f>"188.514,00"</f>
        <v>188.514,00</v>
      </c>
      <c r="K386" s="36" t="s">
        <v>263</v>
      </c>
      <c r="L386" s="36" t="s">
        <v>264</v>
      </c>
      <c r="M386" s="6" t="s">
        <v>613</v>
      </c>
      <c r="N386" s="36" t="s">
        <v>23</v>
      </c>
      <c r="O386" s="38" t="str">
        <f>"10.080,00"</f>
        <v>10.080,00</v>
      </c>
      <c r="P386" s="50"/>
    </row>
    <row r="387" spans="2:16" ht="31.5" x14ac:dyDescent="0.25">
      <c r="B387" s="48"/>
      <c r="C387" s="48"/>
      <c r="D387" s="48"/>
      <c r="E387" s="48"/>
      <c r="F387" s="48"/>
      <c r="G387" s="48"/>
      <c r="H387" s="48"/>
      <c r="I387" s="48"/>
      <c r="J387" s="49"/>
      <c r="K387" s="48"/>
      <c r="L387" s="48"/>
      <c r="M387" s="7" t="s">
        <v>612</v>
      </c>
      <c r="N387" s="48"/>
      <c r="O387" s="49"/>
      <c r="P387" s="51"/>
    </row>
    <row r="388" spans="2:16" ht="47.25" x14ac:dyDescent="0.25">
      <c r="B388" s="37"/>
      <c r="C388" s="37"/>
      <c r="D388" s="37"/>
      <c r="E388" s="37"/>
      <c r="F388" s="37"/>
      <c r="G388" s="37"/>
      <c r="H388" s="37"/>
      <c r="I388" s="37"/>
      <c r="J388" s="39"/>
      <c r="K388" s="37"/>
      <c r="L388" s="37"/>
      <c r="M388" s="8" t="s">
        <v>677</v>
      </c>
      <c r="N388" s="37"/>
      <c r="O388" s="39"/>
      <c r="P388" s="52"/>
    </row>
    <row r="389" spans="2:16" ht="63" x14ac:dyDescent="0.25">
      <c r="B389" s="2">
        <v>237</v>
      </c>
      <c r="C389" s="2" t="str">
        <f>"NOS-82-B/15"</f>
        <v>NOS-82-B/15</v>
      </c>
      <c r="D389" s="2" t="s">
        <v>16</v>
      </c>
      <c r="E389" s="2" t="s">
        <v>17</v>
      </c>
      <c r="F389" s="2" t="s">
        <v>678</v>
      </c>
      <c r="G389" s="2" t="str">
        <f>"2015-2197"</f>
        <v>2015-2197</v>
      </c>
      <c r="H389" s="2" t="str">
        <f>"2015/S 003-0030364"</f>
        <v>2015/S 003-0030364</v>
      </c>
      <c r="I389" s="2" t="s">
        <v>19</v>
      </c>
      <c r="J389" s="3" t="str">
        <f>"1.500.000,00"</f>
        <v>1.500.000,00</v>
      </c>
      <c r="K389" s="2" t="s">
        <v>440</v>
      </c>
      <c r="L389" s="2" t="s">
        <v>441</v>
      </c>
      <c r="M389" s="2" t="s">
        <v>64</v>
      </c>
      <c r="N389" s="2" t="s">
        <v>23</v>
      </c>
      <c r="O389" s="3" t="str">
        <f>"79.518,50"</f>
        <v>79.518,50</v>
      </c>
      <c r="P389" s="4"/>
    </row>
    <row r="390" spans="2:16" ht="47.25" x14ac:dyDescent="0.25">
      <c r="B390" s="36">
        <v>238</v>
      </c>
      <c r="C390" s="36" t="str">
        <f>"NOS-70-E/15"</f>
        <v>NOS-70-E/15</v>
      </c>
      <c r="D390" s="36" t="s">
        <v>28</v>
      </c>
      <c r="E390" s="36" t="s">
        <v>17</v>
      </c>
      <c r="F390" s="36" t="s">
        <v>679</v>
      </c>
      <c r="G390" s="36" t="str">
        <f>"2015-2280"</f>
        <v>2015-2280</v>
      </c>
      <c r="H390" s="36" t="str">
        <f>"2015/S 003-0029569"</f>
        <v>2015/S 003-0029569</v>
      </c>
      <c r="I390" s="36" t="s">
        <v>19</v>
      </c>
      <c r="J390" s="38" t="str">
        <f>"150.000,00"</f>
        <v>150.000,00</v>
      </c>
      <c r="K390" s="36" t="s">
        <v>216</v>
      </c>
      <c r="L390" s="36" t="s">
        <v>217</v>
      </c>
      <c r="M390" s="6" t="s">
        <v>644</v>
      </c>
      <c r="N390" s="36" t="s">
        <v>23</v>
      </c>
      <c r="O390" s="38" t="str">
        <f>"12.581,00"</f>
        <v>12.581,00</v>
      </c>
      <c r="P390" s="50"/>
    </row>
    <row r="391" spans="2:16" ht="31.5" x14ac:dyDescent="0.25">
      <c r="B391" s="37"/>
      <c r="C391" s="37"/>
      <c r="D391" s="37"/>
      <c r="E391" s="37"/>
      <c r="F391" s="37"/>
      <c r="G391" s="37"/>
      <c r="H391" s="37"/>
      <c r="I391" s="37"/>
      <c r="J391" s="39"/>
      <c r="K391" s="37"/>
      <c r="L391" s="37"/>
      <c r="M391" s="8" t="s">
        <v>508</v>
      </c>
      <c r="N391" s="37"/>
      <c r="O391" s="39"/>
      <c r="P391" s="52"/>
    </row>
    <row r="392" spans="2:16" ht="47.25" x14ac:dyDescent="0.25">
      <c r="B392" s="36">
        <v>239</v>
      </c>
      <c r="C392" s="36" t="str">
        <f>"NOS-83-C/15"</f>
        <v>NOS-83-C/15</v>
      </c>
      <c r="D392" s="36" t="s">
        <v>242</v>
      </c>
      <c r="E392" s="36" t="s">
        <v>17</v>
      </c>
      <c r="F392" s="36" t="s">
        <v>680</v>
      </c>
      <c r="G392" s="36" t="str">
        <f>"2015-1869"</f>
        <v>2015-1869</v>
      </c>
      <c r="H392" s="36" t="str">
        <f>"2015/S 003-0033478"</f>
        <v>2015/S 003-0033478</v>
      </c>
      <c r="I392" s="36" t="s">
        <v>19</v>
      </c>
      <c r="J392" s="38" t="str">
        <f>"200.000,00"</f>
        <v>200.000,00</v>
      </c>
      <c r="K392" s="36" t="s">
        <v>232</v>
      </c>
      <c r="L392" s="36" t="s">
        <v>233</v>
      </c>
      <c r="M392" s="6" t="s">
        <v>681</v>
      </c>
      <c r="N392" s="36" t="s">
        <v>23</v>
      </c>
      <c r="O392" s="38" t="str">
        <f>"0,00"</f>
        <v>0,00</v>
      </c>
      <c r="P392" s="50"/>
    </row>
    <row r="393" spans="2:16" ht="31.5" x14ac:dyDescent="0.25">
      <c r="B393" s="48"/>
      <c r="C393" s="48"/>
      <c r="D393" s="48"/>
      <c r="E393" s="48"/>
      <c r="F393" s="48"/>
      <c r="G393" s="48"/>
      <c r="H393" s="48"/>
      <c r="I393" s="48"/>
      <c r="J393" s="49"/>
      <c r="K393" s="48"/>
      <c r="L393" s="48"/>
      <c r="M393" s="7" t="s">
        <v>661</v>
      </c>
      <c r="N393" s="48"/>
      <c r="O393" s="49"/>
      <c r="P393" s="51"/>
    </row>
    <row r="394" spans="2:16" ht="31.5" x14ac:dyDescent="0.25">
      <c r="B394" s="48"/>
      <c r="C394" s="48"/>
      <c r="D394" s="48"/>
      <c r="E394" s="48"/>
      <c r="F394" s="48"/>
      <c r="G394" s="48"/>
      <c r="H394" s="48"/>
      <c r="I394" s="48"/>
      <c r="J394" s="49"/>
      <c r="K394" s="48"/>
      <c r="L394" s="48"/>
      <c r="M394" s="7" t="s">
        <v>65</v>
      </c>
      <c r="N394" s="48"/>
      <c r="O394" s="49"/>
      <c r="P394" s="51"/>
    </row>
    <row r="395" spans="2:16" ht="47.25" x14ac:dyDescent="0.25">
      <c r="B395" s="37"/>
      <c r="C395" s="37"/>
      <c r="D395" s="37"/>
      <c r="E395" s="37"/>
      <c r="F395" s="37"/>
      <c r="G395" s="37"/>
      <c r="H395" s="37"/>
      <c r="I395" s="37"/>
      <c r="J395" s="39"/>
      <c r="K395" s="37"/>
      <c r="L395" s="37"/>
      <c r="M395" s="8" t="s">
        <v>75</v>
      </c>
      <c r="N395" s="37"/>
      <c r="O395" s="39"/>
      <c r="P395" s="52"/>
    </row>
    <row r="396" spans="2:16" ht="31.5" x14ac:dyDescent="0.25">
      <c r="B396" s="36">
        <v>240</v>
      </c>
      <c r="C396" s="36" t="str">
        <f>"NOS-75-H/15"</f>
        <v>NOS-75-H/15</v>
      </c>
      <c r="D396" s="36" t="s">
        <v>214</v>
      </c>
      <c r="E396" s="36" t="s">
        <v>17</v>
      </c>
      <c r="F396" s="36" t="s">
        <v>682</v>
      </c>
      <c r="G396" s="36" t="str">
        <f>"2015-84"</f>
        <v>2015-84</v>
      </c>
      <c r="H396" s="36" t="str">
        <f>"2015/S 003-0038323"</f>
        <v>2015/S 003-0038323</v>
      </c>
      <c r="I396" s="36" t="s">
        <v>19</v>
      </c>
      <c r="J396" s="38" t="str">
        <f>"180.020,00"</f>
        <v>180.020,00</v>
      </c>
      <c r="K396" s="36" t="s">
        <v>526</v>
      </c>
      <c r="L396" s="36" t="s">
        <v>527</v>
      </c>
      <c r="M396" s="6" t="s">
        <v>613</v>
      </c>
      <c r="N396" s="36" t="s">
        <v>23</v>
      </c>
      <c r="O396" s="38" t="str">
        <f>"33.296,00"</f>
        <v>33.296,00</v>
      </c>
      <c r="P396" s="50"/>
    </row>
    <row r="397" spans="2:16" ht="31.5" x14ac:dyDescent="0.25">
      <c r="B397" s="37"/>
      <c r="C397" s="37"/>
      <c r="D397" s="37"/>
      <c r="E397" s="37"/>
      <c r="F397" s="37"/>
      <c r="G397" s="37"/>
      <c r="H397" s="37"/>
      <c r="I397" s="37"/>
      <c r="J397" s="39"/>
      <c r="K397" s="37"/>
      <c r="L397" s="37"/>
      <c r="M397" s="8" t="s">
        <v>612</v>
      </c>
      <c r="N397" s="37"/>
      <c r="O397" s="39"/>
      <c r="P397" s="52"/>
    </row>
    <row r="398" spans="2:16" ht="110.25" x14ac:dyDescent="0.25">
      <c r="B398" s="2">
        <v>241</v>
      </c>
      <c r="C398" s="2" t="str">
        <f>"NOS-75-B/15"</f>
        <v>NOS-75-B/15</v>
      </c>
      <c r="D398" s="2" t="s">
        <v>214</v>
      </c>
      <c r="E398" s="2" t="s">
        <v>17</v>
      </c>
      <c r="F398" s="2" t="s">
        <v>683</v>
      </c>
      <c r="G398" s="2" t="str">
        <f>"2015-84"</f>
        <v>2015-84</v>
      </c>
      <c r="H398" s="2" t="str">
        <f>"2015/S 003-0038323"</f>
        <v>2015/S 003-0038323</v>
      </c>
      <c r="I398" s="2" t="s">
        <v>19</v>
      </c>
      <c r="J398" s="3" t="str">
        <f>"2.250.700,00"</f>
        <v>2.250.700,00</v>
      </c>
      <c r="K398" s="2" t="s">
        <v>448</v>
      </c>
      <c r="L398" s="2" t="s">
        <v>449</v>
      </c>
      <c r="M398" s="2" t="s">
        <v>612</v>
      </c>
      <c r="N398" s="2" t="s">
        <v>23</v>
      </c>
      <c r="O398" s="3" t="str">
        <f>"181.013,00"</f>
        <v>181.013,00</v>
      </c>
      <c r="P398" s="4"/>
    </row>
    <row r="399" spans="2:16" ht="47.25" x14ac:dyDescent="0.25">
      <c r="B399" s="36">
        <v>242</v>
      </c>
      <c r="C399" s="36" t="str">
        <f>"NOS-83-D/15"</f>
        <v>NOS-83-D/15</v>
      </c>
      <c r="D399" s="36" t="s">
        <v>242</v>
      </c>
      <c r="E399" s="36" t="s">
        <v>17</v>
      </c>
      <c r="F399" s="36" t="s">
        <v>684</v>
      </c>
      <c r="G399" s="36" t="str">
        <f>"2015-1869"</f>
        <v>2015-1869</v>
      </c>
      <c r="H399" s="36" t="str">
        <f>"2015/S 003-0033478"</f>
        <v>2015/S 003-0033478</v>
      </c>
      <c r="I399" s="36" t="s">
        <v>19</v>
      </c>
      <c r="J399" s="38" t="str">
        <f>"20.000,00"</f>
        <v>20.000,00</v>
      </c>
      <c r="K399" s="36" t="s">
        <v>232</v>
      </c>
      <c r="L399" s="36" t="s">
        <v>233</v>
      </c>
      <c r="M399" s="6" t="s">
        <v>75</v>
      </c>
      <c r="N399" s="36" t="s">
        <v>23</v>
      </c>
      <c r="O399" s="38" t="str">
        <f>"0,00"</f>
        <v>0,00</v>
      </c>
      <c r="P399" s="50"/>
    </row>
    <row r="400" spans="2:16" ht="31.5" x14ac:dyDescent="0.25">
      <c r="B400" s="48"/>
      <c r="C400" s="48"/>
      <c r="D400" s="48"/>
      <c r="E400" s="48"/>
      <c r="F400" s="48"/>
      <c r="G400" s="48"/>
      <c r="H400" s="48"/>
      <c r="I400" s="48"/>
      <c r="J400" s="49"/>
      <c r="K400" s="48"/>
      <c r="L400" s="48"/>
      <c r="M400" s="7" t="s">
        <v>65</v>
      </c>
      <c r="N400" s="48"/>
      <c r="O400" s="49"/>
      <c r="P400" s="51"/>
    </row>
    <row r="401" spans="2:16" ht="15.75" x14ac:dyDescent="0.25">
      <c r="B401" s="37"/>
      <c r="C401" s="37"/>
      <c r="D401" s="37"/>
      <c r="E401" s="37"/>
      <c r="F401" s="37"/>
      <c r="G401" s="37"/>
      <c r="H401" s="37"/>
      <c r="I401" s="37"/>
      <c r="J401" s="39"/>
      <c r="K401" s="37"/>
      <c r="L401" s="37"/>
      <c r="M401" s="8" t="s">
        <v>61</v>
      </c>
      <c r="N401" s="37"/>
      <c r="O401" s="39"/>
      <c r="P401" s="52"/>
    </row>
    <row r="402" spans="2:16" ht="110.25" x14ac:dyDescent="0.25">
      <c r="B402" s="2">
        <v>243</v>
      </c>
      <c r="C402" s="2" t="str">
        <f>"NOS-75-I/15"</f>
        <v>NOS-75-I/15</v>
      </c>
      <c r="D402" s="2" t="s">
        <v>214</v>
      </c>
      <c r="E402" s="2" t="s">
        <v>17</v>
      </c>
      <c r="F402" s="2" t="s">
        <v>685</v>
      </c>
      <c r="G402" s="2" t="str">
        <f>"2015-84"</f>
        <v>2015-84</v>
      </c>
      <c r="H402" s="2" t="str">
        <f>"2015/S 003-0038323"</f>
        <v>2015/S 003-0038323</v>
      </c>
      <c r="I402" s="2" t="s">
        <v>19</v>
      </c>
      <c r="J402" s="3" t="str">
        <f>"6.158.660,00"</f>
        <v>6.158.660,00</v>
      </c>
      <c r="K402" s="2" t="s">
        <v>448</v>
      </c>
      <c r="L402" s="2" t="s">
        <v>449</v>
      </c>
      <c r="M402" s="2" t="s">
        <v>612</v>
      </c>
      <c r="N402" s="2" t="s">
        <v>23</v>
      </c>
      <c r="O402" s="3" t="str">
        <f>"1.306.461,00"</f>
        <v>1.306.461,00</v>
      </c>
      <c r="P402" s="4"/>
    </row>
    <row r="403" spans="2:16" ht="31.5" x14ac:dyDescent="0.25">
      <c r="B403" s="36">
        <v>244</v>
      </c>
      <c r="C403" s="36" t="str">
        <f>"NOS-75-D/15"</f>
        <v>NOS-75-D/15</v>
      </c>
      <c r="D403" s="36" t="s">
        <v>214</v>
      </c>
      <c r="E403" s="36" t="s">
        <v>17</v>
      </c>
      <c r="F403" s="36" t="s">
        <v>686</v>
      </c>
      <c r="G403" s="36" t="str">
        <f>"2015-84"</f>
        <v>2015-84</v>
      </c>
      <c r="H403" s="36" t="str">
        <f>"2015/S 003-0038323"</f>
        <v>2015/S 003-0038323</v>
      </c>
      <c r="I403" s="36" t="s">
        <v>19</v>
      </c>
      <c r="J403" s="38" t="str">
        <f>"1.069.025,00"</f>
        <v>1.069.025,00</v>
      </c>
      <c r="K403" s="36" t="s">
        <v>687</v>
      </c>
      <c r="L403" s="36" t="s">
        <v>688</v>
      </c>
      <c r="M403" s="6" t="s">
        <v>612</v>
      </c>
      <c r="N403" s="36" t="s">
        <v>23</v>
      </c>
      <c r="O403" s="38" t="str">
        <f>"28.263,00"</f>
        <v>28.263,00</v>
      </c>
      <c r="P403" s="50"/>
    </row>
    <row r="404" spans="2:16" ht="31.5" x14ac:dyDescent="0.25">
      <c r="B404" s="48"/>
      <c r="C404" s="48"/>
      <c r="D404" s="48"/>
      <c r="E404" s="48"/>
      <c r="F404" s="48"/>
      <c r="G404" s="48"/>
      <c r="H404" s="48"/>
      <c r="I404" s="48"/>
      <c r="J404" s="49"/>
      <c r="K404" s="48"/>
      <c r="L404" s="48"/>
      <c r="M404" s="7" t="s">
        <v>689</v>
      </c>
      <c r="N404" s="48"/>
      <c r="O404" s="49"/>
      <c r="P404" s="51"/>
    </row>
    <row r="405" spans="2:16" ht="47.25" x14ac:dyDescent="0.25">
      <c r="B405" s="37"/>
      <c r="C405" s="37"/>
      <c r="D405" s="37"/>
      <c r="E405" s="37"/>
      <c r="F405" s="37"/>
      <c r="G405" s="37"/>
      <c r="H405" s="37"/>
      <c r="I405" s="37"/>
      <c r="J405" s="39"/>
      <c r="K405" s="37"/>
      <c r="L405" s="37"/>
      <c r="M405" s="8" t="s">
        <v>650</v>
      </c>
      <c r="N405" s="37"/>
      <c r="O405" s="39"/>
      <c r="P405" s="52"/>
    </row>
    <row r="406" spans="2:16" ht="63" x14ac:dyDescent="0.25">
      <c r="B406" s="2">
        <v>245</v>
      </c>
      <c r="C406" s="2" t="str">
        <f>"9-14/NOS-190/13"</f>
        <v>9-14/NOS-190/13</v>
      </c>
      <c r="D406" s="2" t="s">
        <v>16</v>
      </c>
      <c r="E406" s="2" t="s">
        <v>690</v>
      </c>
      <c r="F406" s="2" t="s">
        <v>691</v>
      </c>
      <c r="G406" s="2" t="str">
        <f>"9-14/NOS-190/13"</f>
        <v>9-14/NOS-190/13</v>
      </c>
      <c r="H406" s="2" t="str">
        <f>"Ugovor na temelju okvirnog sporazuma"</f>
        <v>Ugovor na temelju okvirnog sporazuma</v>
      </c>
      <c r="I406" s="2" t="s">
        <v>19</v>
      </c>
      <c r="J406" s="3" t="str">
        <f>"363.000,00"</f>
        <v>363.000,00</v>
      </c>
      <c r="K406" s="2" t="s">
        <v>692</v>
      </c>
      <c r="L406" s="2" t="s">
        <v>693</v>
      </c>
      <c r="M406" s="2" t="s">
        <v>201</v>
      </c>
      <c r="N406" s="2" t="str">
        <f>"27.04.2015"</f>
        <v>27.04.2015</v>
      </c>
      <c r="O406" s="3" t="str">
        <f>"363.000,00"</f>
        <v>363.000,00</v>
      </c>
      <c r="P406" s="4"/>
    </row>
    <row r="407" spans="2:16" ht="15.75" x14ac:dyDescent="0.25">
      <c r="B407" s="36">
        <v>246</v>
      </c>
      <c r="C407" s="36" t="str">
        <f>"3-14/NOS-67/14"</f>
        <v>3-14/NOS-67/14</v>
      </c>
      <c r="D407" s="36" t="s">
        <v>16</v>
      </c>
      <c r="E407" s="36" t="s">
        <v>690</v>
      </c>
      <c r="F407" s="36" t="s">
        <v>694</v>
      </c>
      <c r="G407" s="36" t="str">
        <f>"3-14/NOS-67/14"</f>
        <v>3-14/NOS-67/14</v>
      </c>
      <c r="H407" s="36" t="str">
        <f>"Ugovor na temelju okvirnog sporazuma"</f>
        <v>Ugovor na temelju okvirnog sporazuma</v>
      </c>
      <c r="I407" s="36" t="s">
        <v>19</v>
      </c>
      <c r="J407" s="38" t="str">
        <f>"157.090,54"</f>
        <v>157.090,54</v>
      </c>
      <c r="K407" s="36" t="s">
        <v>695</v>
      </c>
      <c r="L407" s="36" t="s">
        <v>696</v>
      </c>
      <c r="M407" s="36" t="s">
        <v>44</v>
      </c>
      <c r="N407" s="36" t="str">
        <f>"16.09.2015"</f>
        <v>16.09.2015</v>
      </c>
      <c r="O407" s="38" t="str">
        <f>"110.391,35"</f>
        <v>110.391,35</v>
      </c>
      <c r="P407" s="6"/>
    </row>
    <row r="408" spans="2:16" ht="15.75" x14ac:dyDescent="0.25">
      <c r="B408" s="48"/>
      <c r="C408" s="48"/>
      <c r="D408" s="48"/>
      <c r="E408" s="48"/>
      <c r="F408" s="48"/>
      <c r="G408" s="48"/>
      <c r="H408" s="48"/>
      <c r="I408" s="48"/>
      <c r="J408" s="49"/>
      <c r="K408" s="48"/>
      <c r="L408" s="48"/>
      <c r="M408" s="48"/>
      <c r="N408" s="48"/>
      <c r="O408" s="49"/>
      <c r="P408" s="7"/>
    </row>
    <row r="409" spans="2:16" ht="15.75" x14ac:dyDescent="0.25">
      <c r="B409" s="37"/>
      <c r="C409" s="37"/>
      <c r="D409" s="37"/>
      <c r="E409" s="37"/>
      <c r="F409" s="37"/>
      <c r="G409" s="37"/>
      <c r="H409" s="37"/>
      <c r="I409" s="37"/>
      <c r="J409" s="39"/>
      <c r="K409" s="37"/>
      <c r="L409" s="37"/>
      <c r="M409" s="37"/>
      <c r="N409" s="37"/>
      <c r="O409" s="39"/>
      <c r="P409" s="8"/>
    </row>
    <row r="410" spans="2:16" ht="78.75" x14ac:dyDescent="0.25">
      <c r="B410" s="2">
        <v>247</v>
      </c>
      <c r="C410" s="2" t="str">
        <f>"7-14/NOS-195-B/13"</f>
        <v>7-14/NOS-195-B/13</v>
      </c>
      <c r="D410" s="2" t="s">
        <v>16</v>
      </c>
      <c r="E410" s="2" t="s">
        <v>690</v>
      </c>
      <c r="F410" s="2" t="s">
        <v>700</v>
      </c>
      <c r="G410" s="2" t="str">
        <f>"7-14/NOS-195-B/13"</f>
        <v>7-14/NOS-195-B/13</v>
      </c>
      <c r="H410" s="2" t="str">
        <f t="shared" ref="H410:H427" si="1">"Ugovor na temelju okvirnog sporazuma"</f>
        <v>Ugovor na temelju okvirnog sporazuma</v>
      </c>
      <c r="I410" s="2" t="s">
        <v>19</v>
      </c>
      <c r="J410" s="3" t="str">
        <f>"2.606.070,60"</f>
        <v>2.606.070,60</v>
      </c>
      <c r="K410" s="2" t="s">
        <v>701</v>
      </c>
      <c r="L410" s="2" t="s">
        <v>326</v>
      </c>
      <c r="M410" s="2" t="s">
        <v>209</v>
      </c>
      <c r="N410" s="2" t="str">
        <f>"17.06.2015"</f>
        <v>17.06.2015</v>
      </c>
      <c r="O410" s="3" t="str">
        <f>"2.148.789,30"</f>
        <v>2.148.789,30</v>
      </c>
      <c r="P410" s="4"/>
    </row>
    <row r="411" spans="2:16" ht="63" x14ac:dyDescent="0.25">
      <c r="B411" s="2">
        <v>248</v>
      </c>
      <c r="C411" s="2" t="str">
        <f>"37-14/NOS-195-A/13"</f>
        <v>37-14/NOS-195-A/13</v>
      </c>
      <c r="D411" s="2" t="s">
        <v>16</v>
      </c>
      <c r="E411" s="2" t="s">
        <v>690</v>
      </c>
      <c r="F411" s="2" t="s">
        <v>702</v>
      </c>
      <c r="G411" s="2" t="str">
        <f>"37-14/NOS-195-A/13"</f>
        <v>37-14/NOS-195-A/13</v>
      </c>
      <c r="H411" s="2" t="str">
        <f t="shared" si="1"/>
        <v>Ugovor na temelju okvirnog sporazuma</v>
      </c>
      <c r="I411" s="2" t="s">
        <v>19</v>
      </c>
      <c r="J411" s="3" t="str">
        <f>"39.284.783,66"</f>
        <v>39.284.783,66</v>
      </c>
      <c r="K411" s="2" t="s">
        <v>703</v>
      </c>
      <c r="L411" s="2" t="s">
        <v>326</v>
      </c>
      <c r="M411" s="2" t="s">
        <v>704</v>
      </c>
      <c r="N411" s="2" t="str">
        <f>"10.11.2015"</f>
        <v>10.11.2015</v>
      </c>
      <c r="O411" s="3" t="str">
        <f>"37.775.223,75"</f>
        <v>37.775.223,75</v>
      </c>
      <c r="P411" s="4"/>
    </row>
    <row r="412" spans="2:16" ht="63" x14ac:dyDescent="0.25">
      <c r="B412" s="2">
        <v>249</v>
      </c>
      <c r="C412" s="2" t="str">
        <f>"39-14/NOS-195-A/13"</f>
        <v>39-14/NOS-195-A/13</v>
      </c>
      <c r="D412" s="2" t="s">
        <v>362</v>
      </c>
      <c r="E412" s="2" t="s">
        <v>690</v>
      </c>
      <c r="F412" s="2" t="s">
        <v>705</v>
      </c>
      <c r="G412" s="2" t="str">
        <f>"39-14/NOS-195-A/13"</f>
        <v>39-14/NOS-195-A/13</v>
      </c>
      <c r="H412" s="2" t="str">
        <f t="shared" si="1"/>
        <v>Ugovor na temelju okvirnog sporazuma</v>
      </c>
      <c r="I412" s="2" t="s">
        <v>19</v>
      </c>
      <c r="J412" s="3" t="str">
        <f>"20.732,58"</f>
        <v>20.732,58</v>
      </c>
      <c r="K412" s="2" t="s">
        <v>706</v>
      </c>
      <c r="L412" s="2" t="s">
        <v>326</v>
      </c>
      <c r="M412" s="2" t="s">
        <v>704</v>
      </c>
      <c r="N412" s="2" t="str">
        <f>"26.05.2015"</f>
        <v>26.05.2015</v>
      </c>
      <c r="O412" s="3" t="str">
        <f>"11.303,00"</f>
        <v>11.303,00</v>
      </c>
      <c r="P412" s="4"/>
    </row>
    <row r="413" spans="2:16" ht="63" x14ac:dyDescent="0.25">
      <c r="B413" s="2">
        <v>250</v>
      </c>
      <c r="C413" s="2" t="str">
        <f>"40-14/NOS-195-A/13"</f>
        <v>40-14/NOS-195-A/13</v>
      </c>
      <c r="D413" s="2" t="s">
        <v>707</v>
      </c>
      <c r="E413" s="2" t="s">
        <v>690</v>
      </c>
      <c r="F413" s="2" t="s">
        <v>708</v>
      </c>
      <c r="G413" s="2" t="str">
        <f>"40-14/NOS-195-A/13"</f>
        <v>40-14/NOS-195-A/13</v>
      </c>
      <c r="H413" s="2" t="str">
        <f t="shared" si="1"/>
        <v>Ugovor na temelju okvirnog sporazuma</v>
      </c>
      <c r="I413" s="2" t="s">
        <v>19</v>
      </c>
      <c r="J413" s="3" t="str">
        <f>"9.243,97"</f>
        <v>9.243,97</v>
      </c>
      <c r="K413" s="2" t="s">
        <v>706</v>
      </c>
      <c r="L413" s="2" t="s">
        <v>326</v>
      </c>
      <c r="M413" s="2" t="s">
        <v>704</v>
      </c>
      <c r="N413" s="2" t="str">
        <f>"13.05.2015"</f>
        <v>13.05.2015</v>
      </c>
      <c r="O413" s="3" t="str">
        <f>"2.865,45"</f>
        <v>2.865,45</v>
      </c>
      <c r="P413" s="4"/>
    </row>
    <row r="414" spans="2:16" ht="63" x14ac:dyDescent="0.25">
      <c r="B414" s="2">
        <v>251</v>
      </c>
      <c r="C414" s="2" t="str">
        <f>"14-14/NOS-11-ZGH/14"</f>
        <v>14-14/NOS-11-ZGH/14</v>
      </c>
      <c r="D414" s="2" t="s">
        <v>16</v>
      </c>
      <c r="E414" s="2" t="s">
        <v>690</v>
      </c>
      <c r="F414" s="2" t="s">
        <v>709</v>
      </c>
      <c r="G414" s="2" t="str">
        <f>"14-14/NOS-11-ZGH/14"</f>
        <v>14-14/NOS-11-ZGH/14</v>
      </c>
      <c r="H414" s="2" t="str">
        <f t="shared" si="1"/>
        <v>Ugovor na temelju okvirnog sporazuma</v>
      </c>
      <c r="I414" s="2" t="s">
        <v>19</v>
      </c>
      <c r="J414" s="3" t="str">
        <f>"148.228,37"</f>
        <v>148.228,37</v>
      </c>
      <c r="K414" s="2" t="s">
        <v>710</v>
      </c>
      <c r="L414" s="2" t="s">
        <v>326</v>
      </c>
      <c r="M414" s="2" t="s">
        <v>711</v>
      </c>
      <c r="N414" s="2" t="str">
        <f>"13.05.2015"</f>
        <v>13.05.2015</v>
      </c>
      <c r="O414" s="3" t="str">
        <f>"124.432,81"</f>
        <v>124.432,81</v>
      </c>
      <c r="P414" s="4"/>
    </row>
    <row r="415" spans="2:16" ht="63" x14ac:dyDescent="0.25">
      <c r="B415" s="2">
        <v>252</v>
      </c>
      <c r="C415" s="2" t="str">
        <f>"3-14/NOS-56/14"</f>
        <v>3-14/NOS-56/14</v>
      </c>
      <c r="D415" s="2" t="s">
        <v>85</v>
      </c>
      <c r="E415" s="2" t="s">
        <v>690</v>
      </c>
      <c r="F415" s="2" t="s">
        <v>712</v>
      </c>
      <c r="G415" s="2" t="str">
        <f>"3-14/NOS-56/14"</f>
        <v>3-14/NOS-56/14</v>
      </c>
      <c r="H415" s="2" t="str">
        <f t="shared" si="1"/>
        <v>Ugovor na temelju okvirnog sporazuma</v>
      </c>
      <c r="I415" s="2" t="s">
        <v>19</v>
      </c>
      <c r="J415" s="3" t="str">
        <f>"9.750,00"</f>
        <v>9.750,00</v>
      </c>
      <c r="K415" s="2" t="s">
        <v>713</v>
      </c>
      <c r="L415" s="2" t="s">
        <v>714</v>
      </c>
      <c r="M415" s="2" t="s">
        <v>715</v>
      </c>
      <c r="N415" s="2" t="str">
        <f>"08.05.2015"</f>
        <v>08.05.2015</v>
      </c>
      <c r="O415" s="3" t="str">
        <f>"9.750,00"</f>
        <v>9.750,00</v>
      </c>
      <c r="P415" s="4"/>
    </row>
    <row r="416" spans="2:16" ht="63" x14ac:dyDescent="0.25">
      <c r="B416" s="2">
        <v>253</v>
      </c>
      <c r="C416" s="2" t="str">
        <f>"3-14/NOS-36/14"</f>
        <v>3-14/NOS-36/14</v>
      </c>
      <c r="D416" s="2" t="s">
        <v>16</v>
      </c>
      <c r="E416" s="2" t="s">
        <v>690</v>
      </c>
      <c r="F416" s="2" t="s">
        <v>716</v>
      </c>
      <c r="G416" s="2" t="str">
        <f>"3-14/NOS-36/14"</f>
        <v>3-14/NOS-36/14</v>
      </c>
      <c r="H416" s="2" t="str">
        <f t="shared" si="1"/>
        <v>Ugovor na temelju okvirnog sporazuma</v>
      </c>
      <c r="I416" s="2" t="s">
        <v>19</v>
      </c>
      <c r="J416" s="3" t="str">
        <f>"229.505,00"</f>
        <v>229.505,00</v>
      </c>
      <c r="K416" s="2" t="s">
        <v>695</v>
      </c>
      <c r="L416" s="2" t="s">
        <v>717</v>
      </c>
      <c r="M416" s="2" t="s">
        <v>61</v>
      </c>
      <c r="N416" s="2" t="str">
        <f>"30.12.2015"</f>
        <v>30.12.2015</v>
      </c>
      <c r="O416" s="3" t="str">
        <f>"185.180,00"</f>
        <v>185.180,00</v>
      </c>
      <c r="P416" s="4"/>
    </row>
    <row r="417" spans="2:16" ht="63" x14ac:dyDescent="0.25">
      <c r="B417" s="2">
        <v>254</v>
      </c>
      <c r="C417" s="2" t="str">
        <f>"18-14/NOS-101/12"</f>
        <v>18-14/NOS-101/12</v>
      </c>
      <c r="D417" s="2" t="s">
        <v>16</v>
      </c>
      <c r="E417" s="2" t="s">
        <v>690</v>
      </c>
      <c r="F417" s="2" t="s">
        <v>718</v>
      </c>
      <c r="G417" s="2" t="str">
        <f>"18-14/NOS-101/12"</f>
        <v>18-14/NOS-101/12</v>
      </c>
      <c r="H417" s="2" t="str">
        <f t="shared" si="1"/>
        <v>Ugovor na temelju okvirnog sporazuma</v>
      </c>
      <c r="I417" s="2" t="s">
        <v>19</v>
      </c>
      <c r="J417" s="3" t="str">
        <f>"140.870,50"</f>
        <v>140.870,50</v>
      </c>
      <c r="K417" s="2" t="s">
        <v>719</v>
      </c>
      <c r="L417" s="2" t="s">
        <v>714</v>
      </c>
      <c r="M417" s="2" t="s">
        <v>303</v>
      </c>
      <c r="N417" s="2" t="str">
        <f>"22.05.2015"</f>
        <v>22.05.2015</v>
      </c>
      <c r="O417" s="3" t="str">
        <f>"137.486,50"</f>
        <v>137.486,50</v>
      </c>
      <c r="P417" s="4"/>
    </row>
    <row r="418" spans="2:16" s="15" customFormat="1" ht="63" x14ac:dyDescent="0.25">
      <c r="B418" s="12">
        <v>255</v>
      </c>
      <c r="C418" s="12" t="str">
        <f>"42-14/NOS-195-A/13"</f>
        <v>42-14/NOS-195-A/13</v>
      </c>
      <c r="D418" s="12" t="s">
        <v>284</v>
      </c>
      <c r="E418" s="12" t="s">
        <v>690</v>
      </c>
      <c r="F418" s="12" t="s">
        <v>720</v>
      </c>
      <c r="G418" s="12" t="str">
        <f>"42-14/NOS-195-A/13"</f>
        <v>42-14/NOS-195-A/13</v>
      </c>
      <c r="H418" s="12" t="str">
        <f t="shared" si="1"/>
        <v>Ugovor na temelju okvirnog sporazuma</v>
      </c>
      <c r="I418" s="12" t="s">
        <v>19</v>
      </c>
      <c r="J418" s="13" t="str">
        <f>"18.768,59"</f>
        <v>18.768,59</v>
      </c>
      <c r="K418" s="12" t="s">
        <v>719</v>
      </c>
      <c r="L418" s="12" t="s">
        <v>326</v>
      </c>
      <c r="M418" s="12" t="s">
        <v>704</v>
      </c>
      <c r="N418" s="12" t="s">
        <v>23</v>
      </c>
      <c r="O418" s="13" t="str">
        <f>"0,00"</f>
        <v>0,00</v>
      </c>
      <c r="P418" s="14"/>
    </row>
    <row r="419" spans="2:16" s="19" customFormat="1" ht="63" x14ac:dyDescent="0.25">
      <c r="B419" s="16">
        <v>256</v>
      </c>
      <c r="C419" s="16" t="str">
        <f>"38-14/NOS-195-A/13"</f>
        <v>38-14/NOS-195-A/13</v>
      </c>
      <c r="D419" s="16" t="s">
        <v>85</v>
      </c>
      <c r="E419" s="16" t="s">
        <v>690</v>
      </c>
      <c r="F419" s="16" t="s">
        <v>721</v>
      </c>
      <c r="G419" s="16" t="str">
        <f>"38-14/NOS-195-A/13"</f>
        <v>38-14/NOS-195-A/13</v>
      </c>
      <c r="H419" s="16" t="str">
        <f t="shared" si="1"/>
        <v>Ugovor na temelju okvirnog sporazuma</v>
      </c>
      <c r="I419" s="16" t="s">
        <v>19</v>
      </c>
      <c r="J419" s="17" t="str">
        <f>"1.017.709,50"</f>
        <v>1.017.709,50</v>
      </c>
      <c r="K419" s="16" t="s">
        <v>722</v>
      </c>
      <c r="L419" s="16" t="s">
        <v>326</v>
      </c>
      <c r="M419" s="16" t="s">
        <v>704</v>
      </c>
      <c r="N419" s="16" t="str">
        <f>"24.03.2015"</f>
        <v>24.03.2015</v>
      </c>
      <c r="O419" s="17" t="str">
        <f>"474.142,12"</f>
        <v>474.142,12</v>
      </c>
      <c r="P419" s="18"/>
    </row>
    <row r="420" spans="2:16" ht="78.75" x14ac:dyDescent="0.25">
      <c r="B420" s="2">
        <v>257</v>
      </c>
      <c r="C420" s="2" t="str">
        <f>"6-14/NOS-38-B/13"</f>
        <v>6-14/NOS-38-B/13</v>
      </c>
      <c r="D420" s="2" t="s">
        <v>16</v>
      </c>
      <c r="E420" s="2" t="s">
        <v>690</v>
      </c>
      <c r="F420" s="2" t="s">
        <v>723</v>
      </c>
      <c r="G420" s="2" t="str">
        <f>"6-14/NOS-38-B/13"</f>
        <v>6-14/NOS-38-B/13</v>
      </c>
      <c r="H420" s="2" t="str">
        <f t="shared" si="1"/>
        <v>Ugovor na temelju okvirnog sporazuma</v>
      </c>
      <c r="I420" s="2" t="s">
        <v>19</v>
      </c>
      <c r="J420" s="3" t="str">
        <f>"217.600,00"</f>
        <v>217.600,00</v>
      </c>
      <c r="K420" s="2" t="s">
        <v>724</v>
      </c>
      <c r="L420" s="2" t="s">
        <v>725</v>
      </c>
      <c r="M420" s="2" t="s">
        <v>269</v>
      </c>
      <c r="N420" s="2" t="str">
        <f>"18.12.2015"</f>
        <v>18.12.2015</v>
      </c>
      <c r="O420" s="3" t="str">
        <f>"184.690,00"</f>
        <v>184.690,00</v>
      </c>
      <c r="P420" s="4"/>
    </row>
    <row r="421" spans="2:16" ht="63" x14ac:dyDescent="0.25">
      <c r="B421" s="2">
        <v>258</v>
      </c>
      <c r="C421" s="2" t="str">
        <f>"2-14/NOS-120/10"</f>
        <v>2-14/NOS-120/10</v>
      </c>
      <c r="D421" s="2" t="s">
        <v>16</v>
      </c>
      <c r="E421" s="2" t="s">
        <v>690</v>
      </c>
      <c r="F421" s="2" t="s">
        <v>726</v>
      </c>
      <c r="G421" s="2" t="str">
        <f>"2-14/NOS-120/10"</f>
        <v>2-14/NOS-120/10</v>
      </c>
      <c r="H421" s="2" t="str">
        <f t="shared" si="1"/>
        <v>Ugovor na temelju okvirnog sporazuma</v>
      </c>
      <c r="I421" s="2" t="s">
        <v>19</v>
      </c>
      <c r="J421" s="3" t="str">
        <f>"71.550,00"</f>
        <v>71.550,00</v>
      </c>
      <c r="K421" s="2" t="s">
        <v>727</v>
      </c>
      <c r="L421" s="2" t="s">
        <v>326</v>
      </c>
      <c r="M421" s="2" t="s">
        <v>728</v>
      </c>
      <c r="N421" s="2" t="str">
        <f>"02.04.2015"</f>
        <v>02.04.2015</v>
      </c>
      <c r="O421" s="3" t="str">
        <f>"71.550,00"</f>
        <v>71.550,00</v>
      </c>
      <c r="P421" s="4"/>
    </row>
    <row r="422" spans="2:16" ht="63" x14ac:dyDescent="0.25">
      <c r="B422" s="2">
        <v>259</v>
      </c>
      <c r="C422" s="2" t="str">
        <f>"1-14/NOS-85/13"</f>
        <v>1-14/NOS-85/13</v>
      </c>
      <c r="D422" s="2" t="s">
        <v>362</v>
      </c>
      <c r="E422" s="2" t="s">
        <v>690</v>
      </c>
      <c r="F422" s="2" t="s">
        <v>729</v>
      </c>
      <c r="G422" s="2" t="str">
        <f>"1-14/NOS-85/13"</f>
        <v>1-14/NOS-85/13</v>
      </c>
      <c r="H422" s="2" t="str">
        <f t="shared" si="1"/>
        <v>Ugovor na temelju okvirnog sporazuma</v>
      </c>
      <c r="I422" s="2" t="s">
        <v>19</v>
      </c>
      <c r="J422" s="3" t="str">
        <f>"194.791,00"</f>
        <v>194.791,00</v>
      </c>
      <c r="K422" s="2" t="s">
        <v>730</v>
      </c>
      <c r="L422" s="2" t="s">
        <v>717</v>
      </c>
      <c r="M422" s="2" t="s">
        <v>731</v>
      </c>
      <c r="N422" s="2" t="s">
        <v>23</v>
      </c>
      <c r="O422" s="3" t="str">
        <f>"0,00"</f>
        <v>0,00</v>
      </c>
      <c r="P422" s="4"/>
    </row>
    <row r="423" spans="2:16" ht="63" x14ac:dyDescent="0.25">
      <c r="B423" s="2">
        <v>260</v>
      </c>
      <c r="C423" s="2" t="str">
        <f>"7-14/NOS-155/13"</f>
        <v>7-14/NOS-155/13</v>
      </c>
      <c r="D423" s="2" t="s">
        <v>16</v>
      </c>
      <c r="E423" s="2" t="s">
        <v>690</v>
      </c>
      <c r="F423" s="2" t="s">
        <v>732</v>
      </c>
      <c r="G423" s="2" t="str">
        <f>"7-14/NOS-155/13"</f>
        <v>7-14/NOS-155/13</v>
      </c>
      <c r="H423" s="2" t="str">
        <f t="shared" si="1"/>
        <v>Ugovor na temelju okvirnog sporazuma</v>
      </c>
      <c r="I423" s="2" t="s">
        <v>19</v>
      </c>
      <c r="J423" s="3" t="str">
        <f>"64.800,00"</f>
        <v>64.800,00</v>
      </c>
      <c r="K423" s="2" t="s">
        <v>54</v>
      </c>
      <c r="L423" s="2" t="s">
        <v>717</v>
      </c>
      <c r="M423" s="2" t="s">
        <v>733</v>
      </c>
      <c r="N423" s="2" t="str">
        <f>"17.12.2015"</f>
        <v>17.12.2015</v>
      </c>
      <c r="O423" s="3" t="str">
        <f>"64.800,00"</f>
        <v>64.800,00</v>
      </c>
      <c r="P423" s="4"/>
    </row>
    <row r="424" spans="2:16" ht="63" x14ac:dyDescent="0.25">
      <c r="B424" s="2">
        <v>261</v>
      </c>
      <c r="C424" s="2" t="str">
        <f>"2-14/NOS-165/13"</f>
        <v>2-14/NOS-165/13</v>
      </c>
      <c r="D424" s="2" t="s">
        <v>16</v>
      </c>
      <c r="E424" s="2" t="s">
        <v>690</v>
      </c>
      <c r="F424" s="2" t="s">
        <v>734</v>
      </c>
      <c r="G424" s="2" t="str">
        <f>"2-14/NOS-165/13"</f>
        <v>2-14/NOS-165/13</v>
      </c>
      <c r="H424" s="2" t="str">
        <f t="shared" si="1"/>
        <v>Ugovor na temelju okvirnog sporazuma</v>
      </c>
      <c r="I424" s="2" t="s">
        <v>19</v>
      </c>
      <c r="J424" s="3" t="str">
        <f>"199.260,00"</f>
        <v>199.260,00</v>
      </c>
      <c r="K424" s="2" t="s">
        <v>54</v>
      </c>
      <c r="L424" s="2" t="s">
        <v>696</v>
      </c>
      <c r="M424" s="2" t="s">
        <v>56</v>
      </c>
      <c r="N424" s="2" t="str">
        <f>"08.09.2015"</f>
        <v>08.09.2015</v>
      </c>
      <c r="O424" s="3" t="str">
        <f>"125.910,00"</f>
        <v>125.910,00</v>
      </c>
      <c r="P424" s="4"/>
    </row>
    <row r="425" spans="2:16" ht="63" x14ac:dyDescent="0.25">
      <c r="B425" s="2">
        <v>262</v>
      </c>
      <c r="C425" s="2" t="str">
        <f>"1-14/NOS-77/13"</f>
        <v>1-14/NOS-77/13</v>
      </c>
      <c r="D425" s="2" t="s">
        <v>16</v>
      </c>
      <c r="E425" s="2" t="s">
        <v>690</v>
      </c>
      <c r="F425" s="2" t="s">
        <v>735</v>
      </c>
      <c r="G425" s="2" t="str">
        <f>"1-14/NOS-77/13"</f>
        <v>1-14/NOS-77/13</v>
      </c>
      <c r="H425" s="2" t="str">
        <f t="shared" si="1"/>
        <v>Ugovor na temelju okvirnog sporazuma</v>
      </c>
      <c r="I425" s="2" t="s">
        <v>19</v>
      </c>
      <c r="J425" s="3" t="str">
        <f>"89.526,00"</f>
        <v>89.526,00</v>
      </c>
      <c r="K425" s="2" t="s">
        <v>54</v>
      </c>
      <c r="L425" s="2" t="s">
        <v>736</v>
      </c>
      <c r="M425" s="2" t="s">
        <v>56</v>
      </c>
      <c r="N425" s="2" t="str">
        <f>"02.11.2015"</f>
        <v>02.11.2015</v>
      </c>
      <c r="O425" s="3" t="str">
        <f>"47.886,00"</f>
        <v>47.886,00</v>
      </c>
      <c r="P425" s="4"/>
    </row>
    <row r="426" spans="2:16" ht="63" x14ac:dyDescent="0.25">
      <c r="B426" s="2">
        <v>263</v>
      </c>
      <c r="C426" s="2" t="str">
        <f>"12-14/NOS-71/13"</f>
        <v>12-14/NOS-71/13</v>
      </c>
      <c r="D426" s="2" t="s">
        <v>16</v>
      </c>
      <c r="E426" s="2" t="s">
        <v>690</v>
      </c>
      <c r="F426" s="2" t="s">
        <v>737</v>
      </c>
      <c r="G426" s="2" t="str">
        <f>"12-14/NOS-71/13"</f>
        <v>12-14/NOS-71/13</v>
      </c>
      <c r="H426" s="2" t="str">
        <f t="shared" si="1"/>
        <v>Ugovor na temelju okvirnog sporazuma</v>
      </c>
      <c r="I426" s="2" t="s">
        <v>19</v>
      </c>
      <c r="J426" s="3" t="str">
        <f>"421.151,30"</f>
        <v>421.151,30</v>
      </c>
      <c r="K426" s="2" t="s">
        <v>730</v>
      </c>
      <c r="L426" s="2" t="s">
        <v>696</v>
      </c>
      <c r="M426" s="2" t="s">
        <v>481</v>
      </c>
      <c r="N426" s="2" t="str">
        <f>"23.12.2015"</f>
        <v>23.12.2015</v>
      </c>
      <c r="O426" s="3" t="str">
        <f>"313.577,80"</f>
        <v>313.577,80</v>
      </c>
      <c r="P426" s="4"/>
    </row>
    <row r="427" spans="2:16" ht="15.75" x14ac:dyDescent="0.25">
      <c r="B427" s="36">
        <v>264</v>
      </c>
      <c r="C427" s="36" t="str">
        <f>"10-14/NOS-157/13"</f>
        <v>10-14/NOS-157/13</v>
      </c>
      <c r="D427" s="36" t="s">
        <v>16</v>
      </c>
      <c r="E427" s="36" t="s">
        <v>690</v>
      </c>
      <c r="F427" s="36" t="s">
        <v>738</v>
      </c>
      <c r="G427" s="36" t="str">
        <f>"10-14/NOS-157/13"</f>
        <v>10-14/NOS-157/13</v>
      </c>
      <c r="H427" s="36" t="str">
        <f t="shared" si="1"/>
        <v>Ugovor na temelju okvirnog sporazuma</v>
      </c>
      <c r="I427" s="36" t="s">
        <v>19</v>
      </c>
      <c r="J427" s="38" t="str">
        <f>"153.706,60"</f>
        <v>153.706,60</v>
      </c>
      <c r="K427" s="36" t="s">
        <v>54</v>
      </c>
      <c r="L427" s="36" t="s">
        <v>326</v>
      </c>
      <c r="M427" s="36" t="s">
        <v>44</v>
      </c>
      <c r="N427" s="36" t="str">
        <f>"06.07.2015"</f>
        <v>06.07.2015</v>
      </c>
      <c r="O427" s="38" t="str">
        <f>"129.105,78"</f>
        <v>129.105,78</v>
      </c>
      <c r="P427" s="6"/>
    </row>
    <row r="428" spans="2:16" ht="15.75" x14ac:dyDescent="0.25">
      <c r="B428" s="37"/>
      <c r="C428" s="37"/>
      <c r="D428" s="37"/>
      <c r="E428" s="37"/>
      <c r="F428" s="37"/>
      <c r="G428" s="37"/>
      <c r="H428" s="37"/>
      <c r="I428" s="37"/>
      <c r="J428" s="39"/>
      <c r="K428" s="37"/>
      <c r="L428" s="37"/>
      <c r="M428" s="37"/>
      <c r="N428" s="37"/>
      <c r="O428" s="39"/>
      <c r="P428" s="8"/>
    </row>
    <row r="429" spans="2:16" ht="63" x14ac:dyDescent="0.25">
      <c r="B429" s="2">
        <v>265</v>
      </c>
      <c r="C429" s="2" t="str">
        <f>"4-14/NOS-59/14"</f>
        <v>4-14/NOS-59/14</v>
      </c>
      <c r="D429" s="2" t="s">
        <v>85</v>
      </c>
      <c r="E429" s="2" t="s">
        <v>690</v>
      </c>
      <c r="F429" s="2" t="s">
        <v>739</v>
      </c>
      <c r="G429" s="2" t="str">
        <f>"4-14/NOS-59/14"</f>
        <v>4-14/NOS-59/14</v>
      </c>
      <c r="H429" s="2" t="str">
        <f t="shared" ref="H429:H436" si="2">"Ugovor na temelju okvirnog sporazuma"</f>
        <v>Ugovor na temelju okvirnog sporazuma</v>
      </c>
      <c r="I429" s="2" t="s">
        <v>19</v>
      </c>
      <c r="J429" s="3" t="str">
        <f>"4.464.760,00"</f>
        <v>4.464.760,00</v>
      </c>
      <c r="K429" s="2" t="s">
        <v>54</v>
      </c>
      <c r="L429" s="2" t="s">
        <v>714</v>
      </c>
      <c r="M429" s="2" t="s">
        <v>740</v>
      </c>
      <c r="N429" s="2" t="str">
        <f>"25.11.2015"</f>
        <v>25.11.2015</v>
      </c>
      <c r="O429" s="3" t="str">
        <f>"4.439.115,00"</f>
        <v>4.439.115,00</v>
      </c>
      <c r="P429" s="4"/>
    </row>
    <row r="430" spans="2:16" ht="78.75" x14ac:dyDescent="0.25">
      <c r="B430" s="2">
        <v>266</v>
      </c>
      <c r="C430" s="2" t="str">
        <f>"8-14/NOS-125/12"</f>
        <v>8-14/NOS-125/12</v>
      </c>
      <c r="D430" s="2" t="s">
        <v>16</v>
      </c>
      <c r="E430" s="2" t="s">
        <v>690</v>
      </c>
      <c r="F430" s="2" t="s">
        <v>741</v>
      </c>
      <c r="G430" s="2" t="str">
        <f>"8-14/NOS-125/12"</f>
        <v>8-14/NOS-125/12</v>
      </c>
      <c r="H430" s="2" t="str">
        <f t="shared" si="2"/>
        <v>Ugovor na temelju okvirnog sporazuma</v>
      </c>
      <c r="I430" s="2" t="s">
        <v>19</v>
      </c>
      <c r="J430" s="3" t="str">
        <f>"145.260,00"</f>
        <v>145.260,00</v>
      </c>
      <c r="K430" s="2" t="s">
        <v>730</v>
      </c>
      <c r="L430" s="2" t="s">
        <v>448</v>
      </c>
      <c r="M430" s="2" t="s">
        <v>281</v>
      </c>
      <c r="N430" s="2" t="str">
        <f>"21.07.2015"</f>
        <v>21.07.2015</v>
      </c>
      <c r="O430" s="3" t="str">
        <f>"45.408,00"</f>
        <v>45.408,00</v>
      </c>
      <c r="P430" s="4"/>
    </row>
    <row r="431" spans="2:16" ht="63" x14ac:dyDescent="0.25">
      <c r="B431" s="2">
        <v>267</v>
      </c>
      <c r="C431" s="2" t="str">
        <f>"2-14/NOS-120/12"</f>
        <v>2-14/NOS-120/12</v>
      </c>
      <c r="D431" s="2" t="s">
        <v>16</v>
      </c>
      <c r="E431" s="2" t="s">
        <v>690</v>
      </c>
      <c r="F431" s="2" t="s">
        <v>742</v>
      </c>
      <c r="G431" s="2" t="str">
        <f>"2-14/NOS-120/12"</f>
        <v>2-14/NOS-120/12</v>
      </c>
      <c r="H431" s="2" t="str">
        <f t="shared" si="2"/>
        <v>Ugovor na temelju okvirnog sporazuma</v>
      </c>
      <c r="I431" s="2" t="s">
        <v>19</v>
      </c>
      <c r="J431" s="3" t="str">
        <f>"89.100,00"</f>
        <v>89.100,00</v>
      </c>
      <c r="K431" s="2" t="s">
        <v>380</v>
      </c>
      <c r="L431" s="2" t="s">
        <v>743</v>
      </c>
      <c r="M431" s="2" t="s">
        <v>146</v>
      </c>
      <c r="N431" s="2" t="str">
        <f>"06.11.2015"</f>
        <v>06.11.2015</v>
      </c>
      <c r="O431" s="3" t="str">
        <f>"89.100,00"</f>
        <v>89.100,00</v>
      </c>
      <c r="P431" s="4"/>
    </row>
    <row r="432" spans="2:16" ht="63" x14ac:dyDescent="0.25">
      <c r="B432" s="2">
        <v>268</v>
      </c>
      <c r="C432" s="2" t="str">
        <f>"9-14/NOS-10/13"</f>
        <v>9-14/NOS-10/13</v>
      </c>
      <c r="D432" s="2" t="s">
        <v>16</v>
      </c>
      <c r="E432" s="2" t="s">
        <v>690</v>
      </c>
      <c r="F432" s="2" t="s">
        <v>744</v>
      </c>
      <c r="G432" s="2" t="str">
        <f>"9-14/NOS-10/13"</f>
        <v>9-14/NOS-10/13</v>
      </c>
      <c r="H432" s="2" t="str">
        <f t="shared" si="2"/>
        <v>Ugovor na temelju okvirnog sporazuma</v>
      </c>
      <c r="I432" s="2" t="s">
        <v>19</v>
      </c>
      <c r="J432" s="3" t="str">
        <f>"74.820,00"</f>
        <v>74.820,00</v>
      </c>
      <c r="K432" s="2" t="s">
        <v>380</v>
      </c>
      <c r="L432" s="2" t="s">
        <v>326</v>
      </c>
      <c r="M432" s="2" t="s">
        <v>50</v>
      </c>
      <c r="N432" s="2" t="str">
        <f>"14.04.2015"</f>
        <v>14.04.2015</v>
      </c>
      <c r="O432" s="3" t="str">
        <f>"27.690,08"</f>
        <v>27.690,08</v>
      </c>
      <c r="P432" s="4"/>
    </row>
    <row r="433" spans="2:16" ht="63" x14ac:dyDescent="0.25">
      <c r="B433" s="2">
        <v>269</v>
      </c>
      <c r="C433" s="2" t="str">
        <f>"3-14/NOS-30/13"</f>
        <v>3-14/NOS-30/13</v>
      </c>
      <c r="D433" s="2" t="s">
        <v>16</v>
      </c>
      <c r="E433" s="2" t="s">
        <v>690</v>
      </c>
      <c r="F433" s="2" t="s">
        <v>745</v>
      </c>
      <c r="G433" s="2" t="str">
        <f>"3-14/NOS-30/13"</f>
        <v>3-14/NOS-30/13</v>
      </c>
      <c r="H433" s="2" t="str">
        <f t="shared" si="2"/>
        <v>Ugovor na temelju okvirnog sporazuma</v>
      </c>
      <c r="I433" s="2" t="s">
        <v>19</v>
      </c>
      <c r="J433" s="3" t="str">
        <f>"36.000,00"</f>
        <v>36.000,00</v>
      </c>
      <c r="K433" s="2" t="s">
        <v>380</v>
      </c>
      <c r="L433" s="2" t="s">
        <v>326</v>
      </c>
      <c r="M433" s="2" t="s">
        <v>746</v>
      </c>
      <c r="N433" s="2" t="str">
        <f>"23.04.2015"</f>
        <v>23.04.2015</v>
      </c>
      <c r="O433" s="3" t="str">
        <f>"35.520,00"</f>
        <v>35.520,00</v>
      </c>
      <c r="P433" s="4"/>
    </row>
    <row r="434" spans="2:16" ht="78.75" x14ac:dyDescent="0.25">
      <c r="B434" s="2">
        <v>270</v>
      </c>
      <c r="C434" s="2" t="str">
        <f>"1-14/NOS-141-A/13"</f>
        <v>1-14/NOS-141-A/13</v>
      </c>
      <c r="D434" s="2" t="s">
        <v>16</v>
      </c>
      <c r="E434" s="2" t="s">
        <v>690</v>
      </c>
      <c r="F434" s="2" t="s">
        <v>747</v>
      </c>
      <c r="G434" s="2" t="str">
        <f>"1-14/NOS-141-A/13"</f>
        <v>1-14/NOS-141-A/13</v>
      </c>
      <c r="H434" s="2" t="str">
        <f t="shared" si="2"/>
        <v>Ugovor na temelju okvirnog sporazuma</v>
      </c>
      <c r="I434" s="2" t="s">
        <v>19</v>
      </c>
      <c r="J434" s="3" t="str">
        <f>"405.765,19"</f>
        <v>405.765,19</v>
      </c>
      <c r="K434" s="2" t="s">
        <v>380</v>
      </c>
      <c r="L434" s="2" t="s">
        <v>748</v>
      </c>
      <c r="M434" s="2" t="s">
        <v>50</v>
      </c>
      <c r="N434" s="2" t="str">
        <f>"20.04.2015"</f>
        <v>20.04.2015</v>
      </c>
      <c r="O434" s="3" t="str">
        <f>"331.177,09"</f>
        <v>331.177,09</v>
      </c>
      <c r="P434" s="2"/>
    </row>
    <row r="435" spans="2:16" ht="63" x14ac:dyDescent="0.25">
      <c r="B435" s="2">
        <v>271</v>
      </c>
      <c r="C435" s="2" t="str">
        <f>"5-14/NOS-161/10"</f>
        <v>5-14/NOS-161/10</v>
      </c>
      <c r="D435" s="2" t="s">
        <v>16</v>
      </c>
      <c r="E435" s="2" t="s">
        <v>690</v>
      </c>
      <c r="F435" s="2" t="s">
        <v>749</v>
      </c>
      <c r="G435" s="2" t="str">
        <f>"5-14/NOS-161/10"</f>
        <v>5-14/NOS-161/10</v>
      </c>
      <c r="H435" s="2" t="str">
        <f t="shared" si="2"/>
        <v>Ugovor na temelju okvirnog sporazuma</v>
      </c>
      <c r="I435" s="2" t="s">
        <v>19</v>
      </c>
      <c r="J435" s="3" t="str">
        <f>"465.000,00"</f>
        <v>465.000,00</v>
      </c>
      <c r="K435" s="2" t="s">
        <v>727</v>
      </c>
      <c r="L435" s="2" t="s">
        <v>743</v>
      </c>
      <c r="M435" s="2" t="s">
        <v>50</v>
      </c>
      <c r="N435" s="2" t="str">
        <f>"22.05.2015"</f>
        <v>22.05.2015</v>
      </c>
      <c r="O435" s="3" t="str">
        <f>"257.300,00"</f>
        <v>257.300,00</v>
      </c>
      <c r="P435" s="4"/>
    </row>
    <row r="436" spans="2:16" s="15" customFormat="1" ht="15.75" x14ac:dyDescent="0.25">
      <c r="B436" s="32">
        <v>272</v>
      </c>
      <c r="C436" s="32" t="str">
        <f>"4-14/NOS-49/14"</f>
        <v>4-14/NOS-49/14</v>
      </c>
      <c r="D436" s="32" t="s">
        <v>85</v>
      </c>
      <c r="E436" s="32" t="s">
        <v>690</v>
      </c>
      <c r="F436" s="32" t="s">
        <v>750</v>
      </c>
      <c r="G436" s="32" t="str">
        <f>"4-14/NOS-49/14"</f>
        <v>4-14/NOS-49/14</v>
      </c>
      <c r="H436" s="32" t="str">
        <f t="shared" si="2"/>
        <v>Ugovor na temelju okvirnog sporazuma</v>
      </c>
      <c r="I436" s="32" t="s">
        <v>19</v>
      </c>
      <c r="J436" s="40" t="str">
        <f>"924.000,00"</f>
        <v>924.000,00</v>
      </c>
      <c r="K436" s="32" t="s">
        <v>20</v>
      </c>
      <c r="L436" s="32" t="s">
        <v>693</v>
      </c>
      <c r="M436" s="32" t="s">
        <v>346</v>
      </c>
      <c r="N436" s="32" t="str">
        <f>"26.11.2015"</f>
        <v>26.11.2015</v>
      </c>
      <c r="O436" s="40" t="str">
        <f>"923.991.58"</f>
        <v>923.991.58</v>
      </c>
      <c r="P436" s="20"/>
    </row>
    <row r="437" spans="2:16" s="15" customFormat="1" ht="15.75" x14ac:dyDescent="0.25">
      <c r="B437" s="33"/>
      <c r="C437" s="33"/>
      <c r="D437" s="33"/>
      <c r="E437" s="33"/>
      <c r="F437" s="33"/>
      <c r="G437" s="33"/>
      <c r="H437" s="33"/>
      <c r="I437" s="33"/>
      <c r="J437" s="41"/>
      <c r="K437" s="33"/>
      <c r="L437" s="33"/>
      <c r="M437" s="33"/>
      <c r="N437" s="33"/>
      <c r="O437" s="41"/>
      <c r="P437" s="21"/>
    </row>
    <row r="438" spans="2:16" ht="63" x14ac:dyDescent="0.25">
      <c r="B438" s="2">
        <v>273</v>
      </c>
      <c r="C438" s="2" t="str">
        <f>"17-14/NOS-11-ZGH/14"</f>
        <v>17-14/NOS-11-ZGH/14</v>
      </c>
      <c r="D438" s="2" t="s">
        <v>85</v>
      </c>
      <c r="E438" s="2" t="s">
        <v>690</v>
      </c>
      <c r="F438" s="2" t="s">
        <v>751</v>
      </c>
      <c r="G438" s="2" t="str">
        <f>"17-14/NOS-11-ZGH/14"</f>
        <v>17-14/NOS-11-ZGH/14</v>
      </c>
      <c r="H438" s="2" t="str">
        <f t="shared" ref="H438:H471" si="3">"Ugovor na temelju okvirnog sporazuma"</f>
        <v>Ugovor na temelju okvirnog sporazuma</v>
      </c>
      <c r="I438" s="2" t="s">
        <v>19</v>
      </c>
      <c r="J438" s="3" t="str">
        <f>"99.223,27"</f>
        <v>99.223,27</v>
      </c>
      <c r="K438" s="2" t="s">
        <v>752</v>
      </c>
      <c r="L438" s="2" t="s">
        <v>714</v>
      </c>
      <c r="M438" s="2" t="s">
        <v>711</v>
      </c>
      <c r="N438" s="2" t="str">
        <f>"03.07.2015"</f>
        <v>03.07.2015</v>
      </c>
      <c r="O438" s="3" t="str">
        <f>"63.143,18"</f>
        <v>63.143,18</v>
      </c>
      <c r="P438" s="4"/>
    </row>
    <row r="439" spans="2:16" ht="63" x14ac:dyDescent="0.25">
      <c r="B439" s="2">
        <v>274</v>
      </c>
      <c r="C439" s="2" t="str">
        <f>"2-14/NOS-83/14"</f>
        <v>2-14/NOS-83/14</v>
      </c>
      <c r="D439" s="2" t="s">
        <v>16</v>
      </c>
      <c r="E439" s="2" t="s">
        <v>690</v>
      </c>
      <c r="F439" s="2" t="s">
        <v>753</v>
      </c>
      <c r="G439" s="2" t="str">
        <f>"2-14/NOS-83/14"</f>
        <v>2-14/NOS-83/14</v>
      </c>
      <c r="H439" s="2" t="str">
        <f t="shared" si="3"/>
        <v>Ugovor na temelju okvirnog sporazuma</v>
      </c>
      <c r="I439" s="2" t="s">
        <v>19</v>
      </c>
      <c r="J439" s="3" t="str">
        <f>"739.972,00"</f>
        <v>739.972,00</v>
      </c>
      <c r="K439" s="2" t="s">
        <v>20</v>
      </c>
      <c r="L439" s="2" t="s">
        <v>714</v>
      </c>
      <c r="M439" s="2" t="s">
        <v>754</v>
      </c>
      <c r="N439" s="2" t="str">
        <f>"15.12.2015"</f>
        <v>15.12.2015</v>
      </c>
      <c r="O439" s="3" t="str">
        <f>"507.070,00"</f>
        <v>507.070,00</v>
      </c>
      <c r="P439" s="4"/>
    </row>
    <row r="440" spans="2:16" ht="63" x14ac:dyDescent="0.25">
      <c r="B440" s="2">
        <v>275</v>
      </c>
      <c r="C440" s="2" t="str">
        <f>"6-14/NOS-8/14"</f>
        <v>6-14/NOS-8/14</v>
      </c>
      <c r="D440" s="2" t="s">
        <v>16</v>
      </c>
      <c r="E440" s="2" t="s">
        <v>690</v>
      </c>
      <c r="F440" s="2" t="s">
        <v>755</v>
      </c>
      <c r="G440" s="2" t="str">
        <f>"6-14/NOS-8/14"</f>
        <v>6-14/NOS-8/14</v>
      </c>
      <c r="H440" s="2" t="str">
        <f t="shared" si="3"/>
        <v>Ugovor na temelju okvirnog sporazuma</v>
      </c>
      <c r="I440" s="2" t="s">
        <v>19</v>
      </c>
      <c r="J440" s="3" t="str">
        <f>"122.572,00"</f>
        <v>122.572,00</v>
      </c>
      <c r="K440" s="2" t="s">
        <v>20</v>
      </c>
      <c r="L440" s="2" t="s">
        <v>448</v>
      </c>
      <c r="M440" s="2" t="s">
        <v>756</v>
      </c>
      <c r="N440" s="2" t="str">
        <f>"09.09.2015"</f>
        <v>09.09.2015</v>
      </c>
      <c r="O440" s="3" t="str">
        <f>"67.166,00"</f>
        <v>67.166,00</v>
      </c>
      <c r="P440" s="4"/>
    </row>
    <row r="441" spans="2:16" ht="63" x14ac:dyDescent="0.25">
      <c r="B441" s="2">
        <v>276</v>
      </c>
      <c r="C441" s="2" t="str">
        <f>"6-14/NOS-103/11"</f>
        <v>6-14/NOS-103/11</v>
      </c>
      <c r="D441" s="2" t="s">
        <v>16</v>
      </c>
      <c r="E441" s="2" t="s">
        <v>690</v>
      </c>
      <c r="F441" s="2" t="s">
        <v>757</v>
      </c>
      <c r="G441" s="2" t="str">
        <f>"6-14/NOS-103/11"</f>
        <v>6-14/NOS-103/11</v>
      </c>
      <c r="H441" s="2" t="str">
        <f t="shared" si="3"/>
        <v>Ugovor na temelju okvirnog sporazuma</v>
      </c>
      <c r="I441" s="2" t="s">
        <v>19</v>
      </c>
      <c r="J441" s="3" t="str">
        <f>"187.689,40"</f>
        <v>187.689,40</v>
      </c>
      <c r="K441" s="2" t="s">
        <v>758</v>
      </c>
      <c r="L441" s="2" t="s">
        <v>326</v>
      </c>
      <c r="M441" s="2" t="s">
        <v>759</v>
      </c>
      <c r="N441" s="2" t="str">
        <f>"14.05.2015"</f>
        <v>14.05.2015</v>
      </c>
      <c r="O441" s="3" t="str">
        <f>"187.689,40"</f>
        <v>187.689,40</v>
      </c>
      <c r="P441" s="4"/>
    </row>
    <row r="442" spans="2:16" ht="63" x14ac:dyDescent="0.25">
      <c r="B442" s="2">
        <v>277</v>
      </c>
      <c r="C442" s="2" t="str">
        <f>"7-14/NOS-202/13"</f>
        <v>7-14/NOS-202/13</v>
      </c>
      <c r="D442" s="2" t="s">
        <v>16</v>
      </c>
      <c r="E442" s="2" t="s">
        <v>690</v>
      </c>
      <c r="F442" s="2" t="s">
        <v>760</v>
      </c>
      <c r="G442" s="2" t="str">
        <f>"7-14/NOS-202/13"</f>
        <v>7-14/NOS-202/13</v>
      </c>
      <c r="H442" s="2" t="str">
        <f t="shared" si="3"/>
        <v>Ugovor na temelju okvirnog sporazuma</v>
      </c>
      <c r="I442" s="2" t="s">
        <v>19</v>
      </c>
      <c r="J442" s="3" t="str">
        <f>"110.814,00"</f>
        <v>110.814,00</v>
      </c>
      <c r="K442" s="2" t="s">
        <v>758</v>
      </c>
      <c r="L442" s="2" t="s">
        <v>448</v>
      </c>
      <c r="M442" s="2" t="s">
        <v>56</v>
      </c>
      <c r="N442" s="2" t="str">
        <f>"11.08.2015"</f>
        <v>11.08.2015</v>
      </c>
      <c r="O442" s="3" t="str">
        <f>"35.838,00"</f>
        <v>35.838,00</v>
      </c>
      <c r="P442" s="4"/>
    </row>
    <row r="443" spans="2:16" ht="63" x14ac:dyDescent="0.25">
      <c r="B443" s="2">
        <v>278</v>
      </c>
      <c r="C443" s="2" t="str">
        <f>"11-14/NOS-46/14"</f>
        <v>11-14/NOS-46/14</v>
      </c>
      <c r="D443" s="2" t="s">
        <v>85</v>
      </c>
      <c r="E443" s="2" t="s">
        <v>690</v>
      </c>
      <c r="F443" s="2" t="s">
        <v>761</v>
      </c>
      <c r="G443" s="2" t="str">
        <f>"11-14/NOS-46/14"</f>
        <v>11-14/NOS-46/14</v>
      </c>
      <c r="H443" s="2" t="str">
        <f t="shared" si="3"/>
        <v>Ugovor na temelju okvirnog sporazuma</v>
      </c>
      <c r="I443" s="2" t="s">
        <v>19</v>
      </c>
      <c r="J443" s="3" t="str">
        <f>"687.845,44"</f>
        <v>687.845,44</v>
      </c>
      <c r="K443" s="2" t="s">
        <v>20</v>
      </c>
      <c r="L443" s="2" t="s">
        <v>762</v>
      </c>
      <c r="M443" s="2" t="s">
        <v>458</v>
      </c>
      <c r="N443" s="2" t="str">
        <f>"28.04.2015"</f>
        <v>28.04.2015</v>
      </c>
      <c r="O443" s="3" t="str">
        <f>"687.845,44"</f>
        <v>687.845,44</v>
      </c>
      <c r="P443" s="4"/>
    </row>
    <row r="444" spans="2:16" ht="63" x14ac:dyDescent="0.25">
      <c r="B444" s="2">
        <v>279</v>
      </c>
      <c r="C444" s="2" t="str">
        <f>"1-14/NOS-88/14"</f>
        <v>1-14/NOS-88/14</v>
      </c>
      <c r="D444" s="2" t="s">
        <v>16</v>
      </c>
      <c r="E444" s="2" t="s">
        <v>690</v>
      </c>
      <c r="F444" s="2" t="s">
        <v>763</v>
      </c>
      <c r="G444" s="2" t="str">
        <f>"1-14/NOS-88/14"</f>
        <v>1-14/NOS-88/14</v>
      </c>
      <c r="H444" s="2" t="str">
        <f t="shared" si="3"/>
        <v>Ugovor na temelju okvirnog sporazuma</v>
      </c>
      <c r="I444" s="2" t="s">
        <v>19</v>
      </c>
      <c r="J444" s="3" t="str">
        <f>"351.145,70"</f>
        <v>351.145,70</v>
      </c>
      <c r="K444" s="2" t="s">
        <v>764</v>
      </c>
      <c r="L444" s="2" t="s">
        <v>448</v>
      </c>
      <c r="M444" s="2" t="s">
        <v>111</v>
      </c>
      <c r="N444" s="2" t="str">
        <f>"13.11.2015"</f>
        <v>13.11.2015</v>
      </c>
      <c r="O444" s="3" t="str">
        <f>"205.385,95"</f>
        <v>205.385,95</v>
      </c>
      <c r="P444" s="4"/>
    </row>
    <row r="445" spans="2:16" s="15" customFormat="1" ht="110.25" x14ac:dyDescent="0.25">
      <c r="B445" s="12">
        <v>280</v>
      </c>
      <c r="C445" s="12" t="str">
        <f>"1-14/NOS-138/13"</f>
        <v>1-14/NOS-138/13</v>
      </c>
      <c r="D445" s="12" t="s">
        <v>85</v>
      </c>
      <c r="E445" s="12" t="s">
        <v>690</v>
      </c>
      <c r="F445" s="12" t="s">
        <v>765</v>
      </c>
      <c r="G445" s="12" t="str">
        <f>"1-14/NOS-138/13"</f>
        <v>1-14/NOS-138/13</v>
      </c>
      <c r="H445" s="12" t="str">
        <f t="shared" si="3"/>
        <v>Ugovor na temelju okvirnog sporazuma</v>
      </c>
      <c r="I445" s="12" t="s">
        <v>19</v>
      </c>
      <c r="J445" s="13" t="str">
        <f>"653.320,00"</f>
        <v>653.320,00</v>
      </c>
      <c r="K445" s="12" t="s">
        <v>766</v>
      </c>
      <c r="L445" s="12" t="s">
        <v>326</v>
      </c>
      <c r="M445" s="12" t="s">
        <v>346</v>
      </c>
      <c r="N445" s="12" t="s">
        <v>23</v>
      </c>
      <c r="O445" s="22">
        <v>651779.15</v>
      </c>
      <c r="P445" s="14"/>
    </row>
    <row r="446" spans="2:16" ht="63" x14ac:dyDescent="0.25">
      <c r="B446" s="2">
        <v>281</v>
      </c>
      <c r="C446" s="2" t="str">
        <f>"4-14/NOS-54/11"</f>
        <v>4-14/NOS-54/11</v>
      </c>
      <c r="D446" s="2" t="s">
        <v>16</v>
      </c>
      <c r="E446" s="2" t="s">
        <v>690</v>
      </c>
      <c r="F446" s="2" t="s">
        <v>767</v>
      </c>
      <c r="G446" s="2" t="str">
        <f>"4-14/NOS-54/11"</f>
        <v>4-14/NOS-54/11</v>
      </c>
      <c r="H446" s="2" t="str">
        <f t="shared" si="3"/>
        <v>Ugovor na temelju okvirnog sporazuma</v>
      </c>
      <c r="I446" s="2" t="s">
        <v>19</v>
      </c>
      <c r="J446" s="3" t="str">
        <f>"361.500,00"</f>
        <v>361.500,00</v>
      </c>
      <c r="K446" s="2" t="s">
        <v>692</v>
      </c>
      <c r="L446" s="2" t="s">
        <v>714</v>
      </c>
      <c r="M446" s="2" t="s">
        <v>197</v>
      </c>
      <c r="N446" s="2" t="str">
        <f>"27.04.2015"</f>
        <v>27.04.2015</v>
      </c>
      <c r="O446" s="3" t="str">
        <f>"289.200,00"</f>
        <v>289.200,00</v>
      </c>
      <c r="P446" s="4"/>
    </row>
    <row r="447" spans="2:16" ht="63" x14ac:dyDescent="0.25">
      <c r="B447" s="2">
        <v>282</v>
      </c>
      <c r="C447" s="2" t="str">
        <f>"3-14/NOS-104/12"</f>
        <v>3-14/NOS-104/12</v>
      </c>
      <c r="D447" s="2" t="s">
        <v>16</v>
      </c>
      <c r="E447" s="2" t="s">
        <v>690</v>
      </c>
      <c r="F447" s="2" t="s">
        <v>768</v>
      </c>
      <c r="G447" s="2" t="str">
        <f>"3-14/NOS-104/12"</f>
        <v>3-14/NOS-104/12</v>
      </c>
      <c r="H447" s="2" t="str">
        <f t="shared" si="3"/>
        <v>Ugovor na temelju okvirnog sporazuma</v>
      </c>
      <c r="I447" s="2" t="s">
        <v>19</v>
      </c>
      <c r="J447" s="3" t="str">
        <f>"282.500,00"</f>
        <v>282.500,00</v>
      </c>
      <c r="K447" s="2" t="s">
        <v>766</v>
      </c>
      <c r="L447" s="2" t="s">
        <v>714</v>
      </c>
      <c r="M447" s="2" t="s">
        <v>344</v>
      </c>
      <c r="N447" s="2" t="s">
        <v>23</v>
      </c>
      <c r="O447" s="3" t="str">
        <f>"0,00"</f>
        <v>0,00</v>
      </c>
      <c r="P447" s="4"/>
    </row>
    <row r="448" spans="2:16" ht="78.75" x14ac:dyDescent="0.25">
      <c r="B448" s="2">
        <v>283</v>
      </c>
      <c r="C448" s="2" t="str">
        <f>"1-14/NOS-93/12"</f>
        <v>1-14/NOS-93/12</v>
      </c>
      <c r="D448" s="2" t="s">
        <v>16</v>
      </c>
      <c r="E448" s="2" t="s">
        <v>690</v>
      </c>
      <c r="F448" s="2" t="s">
        <v>769</v>
      </c>
      <c r="G448" s="2" t="str">
        <f>"1-14/NOS-93/12"</f>
        <v>1-14/NOS-93/12</v>
      </c>
      <c r="H448" s="2" t="str">
        <f t="shared" si="3"/>
        <v>Ugovor na temelju okvirnog sporazuma</v>
      </c>
      <c r="I448" s="2" t="s">
        <v>19</v>
      </c>
      <c r="J448" s="3" t="str">
        <f>"1.906.422,64"</f>
        <v>1.906.422,64</v>
      </c>
      <c r="K448" s="2" t="s">
        <v>766</v>
      </c>
      <c r="L448" s="2" t="s">
        <v>770</v>
      </c>
      <c r="M448" s="2" t="s">
        <v>771</v>
      </c>
      <c r="N448" s="2" t="s">
        <v>23</v>
      </c>
      <c r="O448" s="3" t="str">
        <f>"0,00"</f>
        <v>0,00</v>
      </c>
      <c r="P448" s="4"/>
    </row>
    <row r="449" spans="2:16" ht="63" x14ac:dyDescent="0.25">
      <c r="B449" s="2">
        <v>284</v>
      </c>
      <c r="C449" s="2" t="str">
        <f>"15-14/NOS-167/13"</f>
        <v>15-14/NOS-167/13</v>
      </c>
      <c r="D449" s="2" t="s">
        <v>85</v>
      </c>
      <c r="E449" s="2" t="s">
        <v>690</v>
      </c>
      <c r="F449" s="2" t="s">
        <v>772</v>
      </c>
      <c r="G449" s="2" t="str">
        <f>"15-14/NOS-167/13"</f>
        <v>15-14/NOS-167/13</v>
      </c>
      <c r="H449" s="2" t="str">
        <f t="shared" si="3"/>
        <v>Ugovor na temelju okvirnog sporazuma</v>
      </c>
      <c r="I449" s="2" t="s">
        <v>19</v>
      </c>
      <c r="J449" s="3" t="str">
        <f>"29.345,00"</f>
        <v>29.345,00</v>
      </c>
      <c r="K449" s="2" t="s">
        <v>773</v>
      </c>
      <c r="L449" s="2" t="s">
        <v>714</v>
      </c>
      <c r="M449" s="2" t="s">
        <v>568</v>
      </c>
      <c r="N449" s="2" t="str">
        <f>"20.05.2015"</f>
        <v>20.05.2015</v>
      </c>
      <c r="O449" s="3" t="str">
        <f>"17.857,00"</f>
        <v>17.857,00</v>
      </c>
      <c r="P449" s="4"/>
    </row>
    <row r="450" spans="2:16" ht="63" x14ac:dyDescent="0.25">
      <c r="B450" s="2">
        <v>285</v>
      </c>
      <c r="C450" s="2" t="str">
        <f>"17-14/NOS-44/13"</f>
        <v>17-14/NOS-44/13</v>
      </c>
      <c r="D450" s="2" t="s">
        <v>85</v>
      </c>
      <c r="E450" s="2" t="s">
        <v>690</v>
      </c>
      <c r="F450" s="2" t="s">
        <v>774</v>
      </c>
      <c r="G450" s="2" t="str">
        <f>"17-14/NOS-44/13"</f>
        <v>17-14/NOS-44/13</v>
      </c>
      <c r="H450" s="2" t="str">
        <f t="shared" si="3"/>
        <v>Ugovor na temelju okvirnog sporazuma</v>
      </c>
      <c r="I450" s="2" t="s">
        <v>19</v>
      </c>
      <c r="J450" s="3" t="str">
        <f>"45.098,70"</f>
        <v>45.098,70</v>
      </c>
      <c r="K450" s="2" t="s">
        <v>773</v>
      </c>
      <c r="L450" s="2" t="s">
        <v>714</v>
      </c>
      <c r="M450" s="2" t="s">
        <v>508</v>
      </c>
      <c r="N450" s="2" t="str">
        <f>"21.05.2015"</f>
        <v>21.05.2015</v>
      </c>
      <c r="O450" s="3" t="str">
        <f>"41.988,70"</f>
        <v>41.988,70</v>
      </c>
      <c r="P450" s="4"/>
    </row>
    <row r="451" spans="2:16" ht="63" x14ac:dyDescent="0.25">
      <c r="B451" s="2">
        <v>286</v>
      </c>
      <c r="C451" s="2" t="str">
        <f>"1-14/NOS-87/14"</f>
        <v>1-14/NOS-87/14</v>
      </c>
      <c r="D451" s="2" t="s">
        <v>16</v>
      </c>
      <c r="E451" s="2" t="s">
        <v>690</v>
      </c>
      <c r="F451" s="2" t="s">
        <v>775</v>
      </c>
      <c r="G451" s="2" t="str">
        <f>"1-14/NOS-87/14"</f>
        <v>1-14/NOS-87/14</v>
      </c>
      <c r="H451" s="2" t="str">
        <f t="shared" si="3"/>
        <v>Ugovor na temelju okvirnog sporazuma</v>
      </c>
      <c r="I451" s="2" t="s">
        <v>19</v>
      </c>
      <c r="J451" s="3" t="str">
        <f>"1.579.200,00"</f>
        <v>1.579.200,00</v>
      </c>
      <c r="K451" s="2" t="s">
        <v>38</v>
      </c>
      <c r="L451" s="2" t="s">
        <v>743</v>
      </c>
      <c r="M451" s="2" t="s">
        <v>227</v>
      </c>
      <c r="N451" s="2" t="str">
        <f>"10.08.2015"</f>
        <v>10.08.2015</v>
      </c>
      <c r="O451" s="3" t="str">
        <f>"1.184.400,00"</f>
        <v>1.184.400,00</v>
      </c>
      <c r="P451" s="4"/>
    </row>
    <row r="452" spans="2:16" ht="63" x14ac:dyDescent="0.25">
      <c r="B452" s="2">
        <v>287</v>
      </c>
      <c r="C452" s="2" t="str">
        <f>"4-14/NOS-26/14"</f>
        <v>4-14/NOS-26/14</v>
      </c>
      <c r="D452" s="2" t="s">
        <v>85</v>
      </c>
      <c r="E452" s="2" t="s">
        <v>690</v>
      </c>
      <c r="F452" s="2" t="s">
        <v>776</v>
      </c>
      <c r="G452" s="2" t="str">
        <f>"4-14/NOS-26/14"</f>
        <v>4-14/NOS-26/14</v>
      </c>
      <c r="H452" s="2" t="str">
        <f t="shared" si="3"/>
        <v>Ugovor na temelju okvirnog sporazuma</v>
      </c>
      <c r="I452" s="2" t="s">
        <v>19</v>
      </c>
      <c r="J452" s="3" t="str">
        <f>"119.740,00"</f>
        <v>119.740,00</v>
      </c>
      <c r="K452" s="2" t="s">
        <v>38</v>
      </c>
      <c r="L452" s="2" t="s">
        <v>714</v>
      </c>
      <c r="M452" s="2" t="s">
        <v>84</v>
      </c>
      <c r="N452" s="2" t="str">
        <f>"08.06.2015"</f>
        <v>08.06.2015</v>
      </c>
      <c r="O452" s="3" t="str">
        <f>"117.049,00"</f>
        <v>117.049,00</v>
      </c>
      <c r="P452" s="2"/>
    </row>
    <row r="453" spans="2:16" ht="63" x14ac:dyDescent="0.25">
      <c r="B453" s="2">
        <v>288</v>
      </c>
      <c r="C453" s="2" t="str">
        <f>"3-14/NOS-134/13"</f>
        <v>3-14/NOS-134/13</v>
      </c>
      <c r="D453" s="2" t="s">
        <v>85</v>
      </c>
      <c r="E453" s="2" t="s">
        <v>690</v>
      </c>
      <c r="F453" s="2" t="s">
        <v>778</v>
      </c>
      <c r="G453" s="2" t="str">
        <f>"3-14/NOS-134/13"</f>
        <v>3-14/NOS-134/13</v>
      </c>
      <c r="H453" s="2" t="str">
        <f t="shared" si="3"/>
        <v>Ugovor na temelju okvirnog sporazuma</v>
      </c>
      <c r="I453" s="2" t="s">
        <v>19</v>
      </c>
      <c r="J453" s="3" t="str">
        <f>"29.205,00"</f>
        <v>29.205,00</v>
      </c>
      <c r="K453" s="2" t="s">
        <v>773</v>
      </c>
      <c r="L453" s="2" t="s">
        <v>714</v>
      </c>
      <c r="M453" s="2" t="s">
        <v>779</v>
      </c>
      <c r="N453" s="2" t="str">
        <f>"12.01.2016"</f>
        <v>12.01.2016</v>
      </c>
      <c r="O453" s="3" t="str">
        <f>"10.250,00"</f>
        <v>10.250,00</v>
      </c>
      <c r="P453" s="4"/>
    </row>
    <row r="454" spans="2:16" ht="63" x14ac:dyDescent="0.25">
      <c r="B454" s="2">
        <v>289</v>
      </c>
      <c r="C454" s="2" t="str">
        <f>"1-14/NOS-17/13"</f>
        <v>1-14/NOS-17/13</v>
      </c>
      <c r="D454" s="2" t="s">
        <v>16</v>
      </c>
      <c r="E454" s="2" t="s">
        <v>690</v>
      </c>
      <c r="F454" s="2" t="s">
        <v>780</v>
      </c>
      <c r="G454" s="2" t="str">
        <f>"1-14/NOS-17/13"</f>
        <v>1-14/NOS-17/13</v>
      </c>
      <c r="H454" s="2" t="str">
        <f t="shared" si="3"/>
        <v>Ugovor na temelju okvirnog sporazuma</v>
      </c>
      <c r="I454" s="2" t="s">
        <v>19</v>
      </c>
      <c r="J454" s="3" t="str">
        <f>"157.500,00"</f>
        <v>157.500,00</v>
      </c>
      <c r="K454" s="2" t="s">
        <v>773</v>
      </c>
      <c r="L454" s="2" t="s">
        <v>736</v>
      </c>
      <c r="M454" s="2" t="s">
        <v>313</v>
      </c>
      <c r="N454" s="2" t="str">
        <f>"14.01.2016"</f>
        <v>14.01.2016</v>
      </c>
      <c r="O454" s="3" t="str">
        <f>"79.983,40"</f>
        <v>79.983,40</v>
      </c>
      <c r="P454" s="4"/>
    </row>
    <row r="455" spans="2:16" ht="94.5" x14ac:dyDescent="0.25">
      <c r="B455" s="2">
        <v>290</v>
      </c>
      <c r="C455" s="2" t="str">
        <f>"2-14/NOS-127/13"</f>
        <v>2-14/NOS-127/13</v>
      </c>
      <c r="D455" s="2" t="s">
        <v>16</v>
      </c>
      <c r="E455" s="2" t="s">
        <v>690</v>
      </c>
      <c r="F455" s="2" t="s">
        <v>781</v>
      </c>
      <c r="G455" s="2" t="str">
        <f>"2-14/NOS-127/13"</f>
        <v>2-14/NOS-127/13</v>
      </c>
      <c r="H455" s="2" t="str">
        <f t="shared" si="3"/>
        <v>Ugovor na temelju okvirnog sporazuma</v>
      </c>
      <c r="I455" s="2" t="s">
        <v>19</v>
      </c>
      <c r="J455" s="3" t="str">
        <f>"567.855,00"</f>
        <v>567.855,00</v>
      </c>
      <c r="K455" s="2" t="s">
        <v>773</v>
      </c>
      <c r="L455" s="2" t="s">
        <v>782</v>
      </c>
      <c r="M455" s="2" t="s">
        <v>267</v>
      </c>
      <c r="N455" s="2" t="str">
        <f>"14.01.2016"</f>
        <v>14.01.2016</v>
      </c>
      <c r="O455" s="3" t="str">
        <f>"359.915,18"</f>
        <v>359.915,18</v>
      </c>
      <c r="P455" s="4"/>
    </row>
    <row r="456" spans="2:16" ht="63" x14ac:dyDescent="0.25">
      <c r="B456" s="2">
        <v>291</v>
      </c>
      <c r="C456" s="2" t="str">
        <f>"10-14/NOS-123/12"</f>
        <v>10-14/NOS-123/12</v>
      </c>
      <c r="D456" s="2" t="s">
        <v>16</v>
      </c>
      <c r="E456" s="2" t="s">
        <v>690</v>
      </c>
      <c r="F456" s="2" t="s">
        <v>783</v>
      </c>
      <c r="G456" s="2" t="str">
        <f>"10-14/NOS-123/12"</f>
        <v>10-14/NOS-123/12</v>
      </c>
      <c r="H456" s="2" t="str">
        <f t="shared" si="3"/>
        <v>Ugovor na temelju okvirnog sporazuma</v>
      </c>
      <c r="I456" s="2" t="s">
        <v>19</v>
      </c>
      <c r="J456" s="3" t="str">
        <f>"728.250,00"</f>
        <v>728.250,00</v>
      </c>
      <c r="K456" s="2" t="s">
        <v>773</v>
      </c>
      <c r="L456" s="2" t="s">
        <v>782</v>
      </c>
      <c r="M456" s="2" t="s">
        <v>313</v>
      </c>
      <c r="N456" s="2" t="str">
        <f>"14.01.2016"</f>
        <v>14.01.2016</v>
      </c>
      <c r="O456" s="3" t="str">
        <f>"385.890,00"</f>
        <v>385.890,00</v>
      </c>
      <c r="P456" s="4"/>
    </row>
    <row r="457" spans="2:16" ht="63" x14ac:dyDescent="0.25">
      <c r="B457" s="2">
        <v>292</v>
      </c>
      <c r="C457" s="2" t="str">
        <f>"3-14/NOS-86/13"</f>
        <v>3-14/NOS-86/13</v>
      </c>
      <c r="D457" s="2" t="s">
        <v>16</v>
      </c>
      <c r="E457" s="2" t="s">
        <v>690</v>
      </c>
      <c r="F457" s="2" t="s">
        <v>784</v>
      </c>
      <c r="G457" s="2" t="str">
        <f>"3-14/NOS-86/13"</f>
        <v>3-14/NOS-86/13</v>
      </c>
      <c r="H457" s="2" t="str">
        <f t="shared" si="3"/>
        <v>Ugovor na temelju okvirnog sporazuma</v>
      </c>
      <c r="I457" s="2" t="s">
        <v>19</v>
      </c>
      <c r="J457" s="3" t="str">
        <f>"297.000,00"</f>
        <v>297.000,00</v>
      </c>
      <c r="K457" s="2" t="s">
        <v>773</v>
      </c>
      <c r="L457" s="2" t="s">
        <v>782</v>
      </c>
      <c r="M457" s="2" t="s">
        <v>483</v>
      </c>
      <c r="N457" s="2" t="str">
        <f>"01.09.2015"</f>
        <v>01.09.2015</v>
      </c>
      <c r="O457" s="3" t="str">
        <f>"123.597,54"</f>
        <v>123.597,54</v>
      </c>
      <c r="P457" s="4"/>
    </row>
    <row r="458" spans="2:16" ht="63" x14ac:dyDescent="0.25">
      <c r="B458" s="2">
        <v>293</v>
      </c>
      <c r="C458" s="2" t="str">
        <f>"11-14/NOS-25/13"</f>
        <v>11-14/NOS-25/13</v>
      </c>
      <c r="D458" s="2" t="s">
        <v>85</v>
      </c>
      <c r="E458" s="2" t="s">
        <v>690</v>
      </c>
      <c r="F458" s="2" t="s">
        <v>785</v>
      </c>
      <c r="G458" s="2" t="str">
        <f>"11-14/NOS-25/13"</f>
        <v>11-14/NOS-25/13</v>
      </c>
      <c r="H458" s="2" t="str">
        <f t="shared" si="3"/>
        <v>Ugovor na temelju okvirnog sporazuma</v>
      </c>
      <c r="I458" s="2" t="s">
        <v>19</v>
      </c>
      <c r="J458" s="3" t="str">
        <f>"11.484,00"</f>
        <v>11.484,00</v>
      </c>
      <c r="K458" s="2" t="s">
        <v>42</v>
      </c>
      <c r="L458" s="2" t="s">
        <v>714</v>
      </c>
      <c r="M458" s="2" t="s">
        <v>786</v>
      </c>
      <c r="N458" s="2" t="s">
        <v>23</v>
      </c>
      <c r="O458" s="3" t="str">
        <f>"0,00"</f>
        <v>0,00</v>
      </c>
      <c r="P458" s="4"/>
    </row>
    <row r="459" spans="2:16" ht="63" x14ac:dyDescent="0.25">
      <c r="B459" s="2">
        <v>294</v>
      </c>
      <c r="C459" s="2" t="str">
        <f>"21-14/NOS-54/13"</f>
        <v>21-14/NOS-54/13</v>
      </c>
      <c r="D459" s="2" t="s">
        <v>85</v>
      </c>
      <c r="E459" s="2" t="s">
        <v>690</v>
      </c>
      <c r="F459" s="2" t="s">
        <v>787</v>
      </c>
      <c r="G459" s="2" t="str">
        <f>"21-14/NOS-54/13"</f>
        <v>21-14/NOS-54/13</v>
      </c>
      <c r="H459" s="2" t="str">
        <f t="shared" si="3"/>
        <v>Ugovor na temelju okvirnog sporazuma</v>
      </c>
      <c r="I459" s="2" t="s">
        <v>19</v>
      </c>
      <c r="J459" s="3" t="str">
        <f>"53.047,22"</f>
        <v>53.047,22</v>
      </c>
      <c r="K459" s="2" t="s">
        <v>42</v>
      </c>
      <c r="L459" s="2" t="s">
        <v>714</v>
      </c>
      <c r="M459" s="2" t="s">
        <v>563</v>
      </c>
      <c r="N459" s="2" t="str">
        <f>"14.04.2015"</f>
        <v>14.04.2015</v>
      </c>
      <c r="O459" s="3" t="str">
        <f>"42.104,36"</f>
        <v>42.104,36</v>
      </c>
      <c r="P459" s="4"/>
    </row>
    <row r="460" spans="2:16" ht="63" x14ac:dyDescent="0.25">
      <c r="B460" s="2">
        <v>295</v>
      </c>
      <c r="C460" s="2" t="str">
        <f>"23-14/NOS-87/13"</f>
        <v>23-14/NOS-87/13</v>
      </c>
      <c r="D460" s="2" t="s">
        <v>85</v>
      </c>
      <c r="E460" s="2" t="s">
        <v>690</v>
      </c>
      <c r="F460" s="2" t="s">
        <v>788</v>
      </c>
      <c r="G460" s="2" t="str">
        <f>"23-14/NOS-87/13"</f>
        <v>23-14/NOS-87/13</v>
      </c>
      <c r="H460" s="2" t="str">
        <f t="shared" si="3"/>
        <v>Ugovor na temelju okvirnog sporazuma</v>
      </c>
      <c r="I460" s="2" t="s">
        <v>19</v>
      </c>
      <c r="J460" s="3" t="str">
        <f>"26.767,22"</f>
        <v>26.767,22</v>
      </c>
      <c r="K460" s="2" t="s">
        <v>42</v>
      </c>
      <c r="L460" s="2" t="s">
        <v>714</v>
      </c>
      <c r="M460" s="2" t="s">
        <v>44</v>
      </c>
      <c r="N460" s="2" t="str">
        <f>"30.09.2015"</f>
        <v>30.09.2015</v>
      </c>
      <c r="O460" s="3" t="str">
        <f>"20.695,08"</f>
        <v>20.695,08</v>
      </c>
      <c r="P460" s="4"/>
    </row>
    <row r="461" spans="2:16" ht="63" x14ac:dyDescent="0.25">
      <c r="B461" s="2">
        <v>296</v>
      </c>
      <c r="C461" s="2" t="str">
        <f>"21-14/NOS-36/13"</f>
        <v>21-14/NOS-36/13</v>
      </c>
      <c r="D461" s="2" t="s">
        <v>85</v>
      </c>
      <c r="E461" s="2" t="s">
        <v>690</v>
      </c>
      <c r="F461" s="2" t="s">
        <v>789</v>
      </c>
      <c r="G461" s="2" t="str">
        <f>"21-14/NOS-36/13"</f>
        <v>21-14/NOS-36/13</v>
      </c>
      <c r="H461" s="2" t="str">
        <f t="shared" si="3"/>
        <v>Ugovor na temelju okvirnog sporazuma</v>
      </c>
      <c r="I461" s="2" t="s">
        <v>19</v>
      </c>
      <c r="J461" s="3" t="str">
        <f>"25.947,38"</f>
        <v>25.947,38</v>
      </c>
      <c r="K461" s="2" t="s">
        <v>42</v>
      </c>
      <c r="L461" s="2" t="s">
        <v>714</v>
      </c>
      <c r="M461" s="2" t="s">
        <v>269</v>
      </c>
      <c r="N461" s="2" t="str">
        <f>"23.07.2015"</f>
        <v>23.07.2015</v>
      </c>
      <c r="O461" s="3" t="str">
        <f>"6.004,68"</f>
        <v>6.004,68</v>
      </c>
      <c r="P461" s="4"/>
    </row>
    <row r="462" spans="2:16" ht="63" x14ac:dyDescent="0.25">
      <c r="B462" s="2">
        <v>297</v>
      </c>
      <c r="C462" s="2" t="str">
        <f>"163-14/NOS-220/13"</f>
        <v>163-14/NOS-220/13</v>
      </c>
      <c r="D462" s="2" t="s">
        <v>85</v>
      </c>
      <c r="E462" s="2" t="s">
        <v>690</v>
      </c>
      <c r="F462" s="2" t="s">
        <v>790</v>
      </c>
      <c r="G462" s="2" t="str">
        <f>"163-14/NOS-220/13"</f>
        <v>163-14/NOS-220/13</v>
      </c>
      <c r="H462" s="2" t="str">
        <f t="shared" si="3"/>
        <v>Ugovor na temelju okvirnog sporazuma</v>
      </c>
      <c r="I462" s="2" t="s">
        <v>19</v>
      </c>
      <c r="J462" s="3" t="str">
        <f>"245.356,00"</f>
        <v>245.356,00</v>
      </c>
      <c r="K462" s="2" t="s">
        <v>42</v>
      </c>
      <c r="L462" s="2" t="s">
        <v>326</v>
      </c>
      <c r="M462" s="2" t="s">
        <v>711</v>
      </c>
      <c r="N462" s="2" t="str">
        <f>"12.05.2015"</f>
        <v>12.05.2015</v>
      </c>
      <c r="O462" s="3" t="str">
        <f>"238.461,00"</f>
        <v>238.461,00</v>
      </c>
      <c r="P462" s="4"/>
    </row>
    <row r="463" spans="2:16" ht="78.75" x14ac:dyDescent="0.25">
      <c r="B463" s="2">
        <v>298</v>
      </c>
      <c r="C463" s="2" t="str">
        <f>"20-14/NOS-38-A/13"</f>
        <v>20-14/NOS-38-A/13</v>
      </c>
      <c r="D463" s="2" t="s">
        <v>85</v>
      </c>
      <c r="E463" s="2" t="s">
        <v>690</v>
      </c>
      <c r="F463" s="2" t="s">
        <v>791</v>
      </c>
      <c r="G463" s="2" t="str">
        <f>"20-14/NOS-38-A/13"</f>
        <v>20-14/NOS-38-A/13</v>
      </c>
      <c r="H463" s="2" t="str">
        <f t="shared" si="3"/>
        <v>Ugovor na temelju okvirnog sporazuma</v>
      </c>
      <c r="I463" s="2" t="s">
        <v>19</v>
      </c>
      <c r="J463" s="3" t="str">
        <f>"54.223,20"</f>
        <v>54.223,20</v>
      </c>
      <c r="K463" s="2" t="s">
        <v>42</v>
      </c>
      <c r="L463" s="2" t="s">
        <v>714</v>
      </c>
      <c r="M463" s="2" t="s">
        <v>269</v>
      </c>
      <c r="N463" s="2" t="str">
        <f>"20.05.2015"</f>
        <v>20.05.2015</v>
      </c>
      <c r="O463" s="3" t="str">
        <f>"8.087,00"</f>
        <v>8.087,00</v>
      </c>
      <c r="P463" s="4"/>
    </row>
    <row r="464" spans="2:16" ht="63" x14ac:dyDescent="0.25">
      <c r="B464" s="2">
        <v>299</v>
      </c>
      <c r="C464" s="2" t="str">
        <f>"41-14/NOS-195-A/13"</f>
        <v>41-14/NOS-195-A/13</v>
      </c>
      <c r="D464" s="2" t="s">
        <v>356</v>
      </c>
      <c r="E464" s="2" t="s">
        <v>690</v>
      </c>
      <c r="F464" s="2" t="s">
        <v>792</v>
      </c>
      <c r="G464" s="2" t="str">
        <f>"41-14/NOS-195-A/13"</f>
        <v>41-14/NOS-195-A/13</v>
      </c>
      <c r="H464" s="2" t="str">
        <f t="shared" si="3"/>
        <v>Ugovor na temelju okvirnog sporazuma</v>
      </c>
      <c r="I464" s="2" t="s">
        <v>19</v>
      </c>
      <c r="J464" s="3" t="str">
        <f>"250.867,26"</f>
        <v>250.867,26</v>
      </c>
      <c r="K464" s="2" t="s">
        <v>722</v>
      </c>
      <c r="L464" s="2" t="s">
        <v>326</v>
      </c>
      <c r="M464" s="2" t="s">
        <v>704</v>
      </c>
      <c r="N464" s="2" t="s">
        <v>23</v>
      </c>
      <c r="O464" s="3" t="str">
        <f>"0,00"</f>
        <v>0,00</v>
      </c>
      <c r="P464" s="4"/>
    </row>
    <row r="465" spans="2:16" ht="141.75" x14ac:dyDescent="0.25">
      <c r="B465" s="2">
        <v>300</v>
      </c>
      <c r="C465" s="2" t="str">
        <f>"17-14/NOS-130/11"</f>
        <v>17-14/NOS-130/11</v>
      </c>
      <c r="D465" s="2" t="s">
        <v>16</v>
      </c>
      <c r="E465" s="2" t="s">
        <v>690</v>
      </c>
      <c r="F465" s="2" t="s">
        <v>793</v>
      </c>
      <c r="G465" s="2" t="str">
        <f>"17-14/NOS-130/11"</f>
        <v>17-14/NOS-130/11</v>
      </c>
      <c r="H465" s="2" t="str">
        <f t="shared" si="3"/>
        <v>Ugovor na temelju okvirnog sporazuma</v>
      </c>
      <c r="I465" s="2" t="s">
        <v>19</v>
      </c>
      <c r="J465" s="3" t="str">
        <f>"101.178,92"</f>
        <v>101.178,92</v>
      </c>
      <c r="K465" s="2" t="s">
        <v>794</v>
      </c>
      <c r="L465" s="2" t="s">
        <v>714</v>
      </c>
      <c r="M465" s="2" t="s">
        <v>559</v>
      </c>
      <c r="N465" s="2" t="str">
        <f>"07.04.2015"</f>
        <v>07.04.2015</v>
      </c>
      <c r="O465" s="3" t="str">
        <f>"101.157,08"</f>
        <v>101.157,08</v>
      </c>
      <c r="P465" s="4"/>
    </row>
    <row r="466" spans="2:16" ht="63" x14ac:dyDescent="0.25">
      <c r="B466" s="2">
        <v>301</v>
      </c>
      <c r="C466" s="2" t="str">
        <f>"5-14/NOS-38-B/13"</f>
        <v>5-14/NOS-38-B/13</v>
      </c>
      <c r="D466" s="2" t="s">
        <v>85</v>
      </c>
      <c r="E466" s="2" t="s">
        <v>690</v>
      </c>
      <c r="F466" s="2" t="s">
        <v>795</v>
      </c>
      <c r="G466" s="2" t="str">
        <f>"5-14/NOS-38-B/13"</f>
        <v>5-14/NOS-38-B/13</v>
      </c>
      <c r="H466" s="2" t="str">
        <f t="shared" si="3"/>
        <v>Ugovor na temelju okvirnog sporazuma</v>
      </c>
      <c r="I466" s="2" t="s">
        <v>19</v>
      </c>
      <c r="J466" s="3" t="str">
        <f>"10.141,35"</f>
        <v>10.141,35</v>
      </c>
      <c r="K466" s="2" t="s">
        <v>42</v>
      </c>
      <c r="L466" s="2" t="s">
        <v>326</v>
      </c>
      <c r="M466" s="2" t="s">
        <v>269</v>
      </c>
      <c r="N466" s="2" t="str">
        <f>"08.05.2015"</f>
        <v>08.05.2015</v>
      </c>
      <c r="O466" s="3" t="str">
        <f>"10.141,35"</f>
        <v>10.141,35</v>
      </c>
      <c r="P466" s="4"/>
    </row>
    <row r="467" spans="2:16" ht="94.5" x14ac:dyDescent="0.25">
      <c r="B467" s="2">
        <v>302</v>
      </c>
      <c r="C467" s="2" t="str">
        <f>"1-14/NOS-31-A/13"</f>
        <v>1-14/NOS-31-A/13</v>
      </c>
      <c r="D467" s="2" t="s">
        <v>16</v>
      </c>
      <c r="E467" s="2" t="s">
        <v>690</v>
      </c>
      <c r="F467" s="2" t="s">
        <v>796</v>
      </c>
      <c r="G467" s="2" t="str">
        <f>"1-14/NOS-31-A/13"</f>
        <v>1-14/NOS-31-A/13</v>
      </c>
      <c r="H467" s="2" t="str">
        <f t="shared" si="3"/>
        <v>Ugovor na temelju okvirnog sporazuma</v>
      </c>
      <c r="I467" s="2" t="s">
        <v>19</v>
      </c>
      <c r="J467" s="3" t="str">
        <f>"160.000,00"</f>
        <v>160.000,00</v>
      </c>
      <c r="K467" s="2" t="s">
        <v>794</v>
      </c>
      <c r="L467" s="2" t="s">
        <v>736</v>
      </c>
      <c r="M467" s="2" t="s">
        <v>340</v>
      </c>
      <c r="N467" s="2" t="str">
        <f>"14.05.2015"</f>
        <v>14.05.2015</v>
      </c>
      <c r="O467" s="3" t="str">
        <f>"146.930,40"</f>
        <v>146.930,40</v>
      </c>
      <c r="P467" s="4"/>
    </row>
    <row r="468" spans="2:16" ht="63" x14ac:dyDescent="0.25">
      <c r="B468" s="2">
        <v>303</v>
      </c>
      <c r="C468" s="2" t="str">
        <f>"7-14/NOS-87/12"</f>
        <v>7-14/NOS-87/12</v>
      </c>
      <c r="D468" s="2" t="s">
        <v>85</v>
      </c>
      <c r="E468" s="2" t="s">
        <v>690</v>
      </c>
      <c r="F468" s="2" t="s">
        <v>797</v>
      </c>
      <c r="G468" s="2" t="str">
        <f>"7-14/NOS-87/12"</f>
        <v>7-14/NOS-87/12</v>
      </c>
      <c r="H468" s="2" t="str">
        <f t="shared" si="3"/>
        <v>Ugovor na temelju okvirnog sporazuma</v>
      </c>
      <c r="I468" s="2" t="s">
        <v>19</v>
      </c>
      <c r="J468" s="3" t="str">
        <f>"4.159,07"</f>
        <v>4.159,07</v>
      </c>
      <c r="K468" s="2" t="s">
        <v>798</v>
      </c>
      <c r="L468" s="2" t="s">
        <v>714</v>
      </c>
      <c r="M468" s="2" t="s">
        <v>44</v>
      </c>
      <c r="N468" s="2" t="str">
        <f>"21.05.2015"</f>
        <v>21.05.2015</v>
      </c>
      <c r="O468" s="3" t="str">
        <f>"2.487,07"</f>
        <v>2.487,07</v>
      </c>
      <c r="P468" s="4"/>
    </row>
    <row r="469" spans="2:16" ht="63" x14ac:dyDescent="0.25">
      <c r="B469" s="2">
        <v>304</v>
      </c>
      <c r="C469" s="2" t="str">
        <f>"20-14/NOS-109/13"</f>
        <v>20-14/NOS-109/13</v>
      </c>
      <c r="D469" s="2" t="s">
        <v>85</v>
      </c>
      <c r="E469" s="2" t="s">
        <v>690</v>
      </c>
      <c r="F469" s="2" t="s">
        <v>799</v>
      </c>
      <c r="G469" s="2" t="str">
        <f>"20-14/NOS-109/13"</f>
        <v>20-14/NOS-109/13</v>
      </c>
      <c r="H469" s="2" t="str">
        <f t="shared" si="3"/>
        <v>Ugovor na temelju okvirnog sporazuma</v>
      </c>
      <c r="I469" s="2" t="s">
        <v>19</v>
      </c>
      <c r="J469" s="3" t="str">
        <f>"30.299,35"</f>
        <v>30.299,35</v>
      </c>
      <c r="K469" s="2" t="s">
        <v>800</v>
      </c>
      <c r="L469" s="2" t="s">
        <v>714</v>
      </c>
      <c r="M469" s="2" t="s">
        <v>44</v>
      </c>
      <c r="N469" s="2" t="str">
        <f>"02.06.2015"</f>
        <v>02.06.2015</v>
      </c>
      <c r="O469" s="3" t="str">
        <f>"3.497,30"</f>
        <v>3.497,30</v>
      </c>
      <c r="P469" s="2"/>
    </row>
    <row r="470" spans="2:16" ht="63" x14ac:dyDescent="0.25">
      <c r="B470" s="2">
        <v>305</v>
      </c>
      <c r="C470" s="2" t="str">
        <f>"14-14/NOS-16/13"</f>
        <v>14-14/NOS-16/13</v>
      </c>
      <c r="D470" s="2" t="s">
        <v>85</v>
      </c>
      <c r="E470" s="2" t="s">
        <v>690</v>
      </c>
      <c r="F470" s="2" t="s">
        <v>801</v>
      </c>
      <c r="G470" s="2" t="str">
        <f>"14-14/NOS-16/13"</f>
        <v>14-14/NOS-16/13</v>
      </c>
      <c r="H470" s="2" t="str">
        <f t="shared" si="3"/>
        <v>Ugovor na temelju okvirnog sporazuma</v>
      </c>
      <c r="I470" s="2" t="s">
        <v>19</v>
      </c>
      <c r="J470" s="3" t="str">
        <f>"4.375,00"</f>
        <v>4.375,00</v>
      </c>
      <c r="K470" s="2" t="s">
        <v>800</v>
      </c>
      <c r="L470" s="2" t="s">
        <v>714</v>
      </c>
      <c r="M470" s="2" t="s">
        <v>44</v>
      </c>
      <c r="N470" s="2" t="str">
        <f>"30.09.2015"</f>
        <v>30.09.2015</v>
      </c>
      <c r="O470" s="3" t="str">
        <f>"3.604,65"</f>
        <v>3.604,65</v>
      </c>
      <c r="P470" s="4"/>
    </row>
    <row r="471" spans="2:16" ht="15.75" x14ac:dyDescent="0.25">
      <c r="B471" s="36">
        <v>306</v>
      </c>
      <c r="C471" s="36" t="str">
        <f>"1-15/NOS-40/14"</f>
        <v>1-15/NOS-40/14</v>
      </c>
      <c r="D471" s="36" t="s">
        <v>16</v>
      </c>
      <c r="E471" s="36" t="s">
        <v>690</v>
      </c>
      <c r="F471" s="36" t="s">
        <v>802</v>
      </c>
      <c r="G471" s="36" t="str">
        <f>"1-15/NOS-40/14"</f>
        <v>1-15/NOS-40/14</v>
      </c>
      <c r="H471" s="36" t="str">
        <f t="shared" si="3"/>
        <v>Ugovor na temelju okvirnog sporazuma</v>
      </c>
      <c r="I471" s="36" t="s">
        <v>19</v>
      </c>
      <c r="J471" s="38" t="str">
        <f>"45.987.610,53"</f>
        <v>45.987.610,53</v>
      </c>
      <c r="K471" s="36" t="s">
        <v>803</v>
      </c>
      <c r="L471" s="36" t="s">
        <v>804</v>
      </c>
      <c r="M471" s="36" t="s">
        <v>805</v>
      </c>
      <c r="N471" s="36" t="str">
        <f>"14.01.2016"</f>
        <v>14.01.2016</v>
      </c>
      <c r="O471" s="38" t="str">
        <f>"30.178.242,16"</f>
        <v>30.178.242,16</v>
      </c>
      <c r="P471" s="6"/>
    </row>
    <row r="472" spans="2:16" ht="15.75" x14ac:dyDescent="0.25">
      <c r="B472" s="37"/>
      <c r="C472" s="37"/>
      <c r="D472" s="37"/>
      <c r="E472" s="37"/>
      <c r="F472" s="37"/>
      <c r="G472" s="37"/>
      <c r="H472" s="37"/>
      <c r="I472" s="37"/>
      <c r="J472" s="39"/>
      <c r="K472" s="37"/>
      <c r="L472" s="37"/>
      <c r="M472" s="37"/>
      <c r="N472" s="37"/>
      <c r="O472" s="39"/>
      <c r="P472" s="8"/>
    </row>
    <row r="473" spans="2:16" ht="63" x14ac:dyDescent="0.25">
      <c r="B473" s="2">
        <v>307</v>
      </c>
      <c r="C473" s="2" t="str">
        <f>"42-14/NOS-53/13"</f>
        <v>42-14/NOS-53/13</v>
      </c>
      <c r="D473" s="2" t="s">
        <v>85</v>
      </c>
      <c r="E473" s="2" t="s">
        <v>690</v>
      </c>
      <c r="F473" s="2" t="s">
        <v>806</v>
      </c>
      <c r="G473" s="2" t="str">
        <f>"42-14/NOS-53/13"</f>
        <v>42-14/NOS-53/13</v>
      </c>
      <c r="H473" s="2" t="str">
        <f t="shared" ref="H473:H512" si="4">"Ugovor na temelju okvirnog sporazuma"</f>
        <v>Ugovor na temelju okvirnog sporazuma</v>
      </c>
      <c r="I473" s="2" t="s">
        <v>19</v>
      </c>
      <c r="J473" s="3" t="str">
        <f>"79.785,50"</f>
        <v>79.785,50</v>
      </c>
      <c r="K473" s="2" t="s">
        <v>807</v>
      </c>
      <c r="L473" s="2" t="s">
        <v>714</v>
      </c>
      <c r="M473" s="2" t="s">
        <v>160</v>
      </c>
      <c r="N473" s="2" t="str">
        <f>"25.05.2015"</f>
        <v>25.05.2015</v>
      </c>
      <c r="O473" s="3" t="str">
        <f>"878,56"</f>
        <v>878,56</v>
      </c>
      <c r="P473" s="4"/>
    </row>
    <row r="474" spans="2:16" ht="63" x14ac:dyDescent="0.25">
      <c r="B474" s="2">
        <v>308</v>
      </c>
      <c r="C474" s="2" t="str">
        <f>"23-14/NOS-14/13"</f>
        <v>23-14/NOS-14/13</v>
      </c>
      <c r="D474" s="2" t="s">
        <v>85</v>
      </c>
      <c r="E474" s="2" t="s">
        <v>690</v>
      </c>
      <c r="F474" s="2" t="s">
        <v>808</v>
      </c>
      <c r="G474" s="2" t="str">
        <f>"23-14/NOS-14/13"</f>
        <v>23-14/NOS-14/13</v>
      </c>
      <c r="H474" s="2" t="str">
        <f t="shared" si="4"/>
        <v>Ugovor na temelju okvirnog sporazuma</v>
      </c>
      <c r="I474" s="2" t="s">
        <v>19</v>
      </c>
      <c r="J474" s="3" t="str">
        <f>"51.499,90"</f>
        <v>51.499,90</v>
      </c>
      <c r="K474" s="2" t="s">
        <v>807</v>
      </c>
      <c r="L474" s="2" t="s">
        <v>714</v>
      </c>
      <c r="M474" s="2" t="s">
        <v>160</v>
      </c>
      <c r="N474" s="2" t="str">
        <f>"11.05.2015"</f>
        <v>11.05.2015</v>
      </c>
      <c r="O474" s="3" t="str">
        <f>"42.006,30"</f>
        <v>42.006,30</v>
      </c>
      <c r="P474" s="4"/>
    </row>
    <row r="475" spans="2:16" ht="63" x14ac:dyDescent="0.25">
      <c r="B475" s="2">
        <v>309</v>
      </c>
      <c r="C475" s="2" t="str">
        <f>"1-15/NOS-9/13"</f>
        <v>1-15/NOS-9/13</v>
      </c>
      <c r="D475" s="2" t="s">
        <v>16</v>
      </c>
      <c r="E475" s="2" t="s">
        <v>690</v>
      </c>
      <c r="F475" s="2" t="s">
        <v>809</v>
      </c>
      <c r="G475" s="2" t="str">
        <f>"1-15/NOS-9/13"</f>
        <v>1-15/NOS-9/13</v>
      </c>
      <c r="H475" s="2" t="str">
        <f t="shared" si="4"/>
        <v>Ugovor na temelju okvirnog sporazuma</v>
      </c>
      <c r="I475" s="2" t="s">
        <v>19</v>
      </c>
      <c r="J475" s="3" t="str">
        <f>"55.500,00"</f>
        <v>55.500,00</v>
      </c>
      <c r="K475" s="2" t="s">
        <v>810</v>
      </c>
      <c r="L475" s="2" t="s">
        <v>717</v>
      </c>
      <c r="M475" s="2" t="s">
        <v>811</v>
      </c>
      <c r="N475" s="2" t="str">
        <f>"03.12.2015"</f>
        <v>03.12.2015</v>
      </c>
      <c r="O475" s="3" t="str">
        <f>"28.068,20"</f>
        <v>28.068,20</v>
      </c>
      <c r="P475" s="2"/>
    </row>
    <row r="476" spans="2:16" ht="63" x14ac:dyDescent="0.25">
      <c r="B476" s="2">
        <v>310</v>
      </c>
      <c r="C476" s="2" t="str">
        <f>"1-15/NOS-64/13"</f>
        <v>1-15/NOS-64/13</v>
      </c>
      <c r="D476" s="2" t="s">
        <v>16</v>
      </c>
      <c r="E476" s="2" t="s">
        <v>690</v>
      </c>
      <c r="F476" s="2" t="s">
        <v>812</v>
      </c>
      <c r="G476" s="2" t="str">
        <f>"1-15/NOS-64/13"</f>
        <v>1-15/NOS-64/13</v>
      </c>
      <c r="H476" s="2" t="str">
        <f t="shared" si="4"/>
        <v>Ugovor na temelju okvirnog sporazuma</v>
      </c>
      <c r="I476" s="2" t="s">
        <v>19</v>
      </c>
      <c r="J476" s="3" t="str">
        <f>"715.700,00"</f>
        <v>715.700,00</v>
      </c>
      <c r="K476" s="2" t="s">
        <v>813</v>
      </c>
      <c r="L476" s="2" t="s">
        <v>408</v>
      </c>
      <c r="M476" s="2" t="s">
        <v>814</v>
      </c>
      <c r="N476" s="2" t="str">
        <f>"14.01.2016"</f>
        <v>14.01.2016</v>
      </c>
      <c r="O476" s="3" t="str">
        <f>"611.240,00"</f>
        <v>611.240,00</v>
      </c>
      <c r="P476" s="4"/>
    </row>
    <row r="477" spans="2:16" ht="78.75" x14ac:dyDescent="0.25">
      <c r="B477" s="2">
        <v>311</v>
      </c>
      <c r="C477" s="2" t="str">
        <f>"1-15/NOS-190/13"</f>
        <v>1-15/NOS-190/13</v>
      </c>
      <c r="D477" s="2" t="s">
        <v>16</v>
      </c>
      <c r="E477" s="2" t="s">
        <v>690</v>
      </c>
      <c r="F477" s="2" t="s">
        <v>815</v>
      </c>
      <c r="G477" s="2" t="str">
        <f>"1-15/NOS-190/13"</f>
        <v>1-15/NOS-190/13</v>
      </c>
      <c r="H477" s="2" t="str">
        <f t="shared" si="4"/>
        <v>Ugovor na temelju okvirnog sporazuma</v>
      </c>
      <c r="I477" s="2" t="s">
        <v>19</v>
      </c>
      <c r="J477" s="3" t="str">
        <f>"600.000,00"</f>
        <v>600.000,00</v>
      </c>
      <c r="K477" s="2" t="s">
        <v>813</v>
      </c>
      <c r="L477" s="2" t="s">
        <v>526</v>
      </c>
      <c r="M477" s="2" t="s">
        <v>201</v>
      </c>
      <c r="N477" s="2" t="str">
        <f>"10.08.2015"</f>
        <v>10.08.2015</v>
      </c>
      <c r="O477" s="3" t="str">
        <f>"600.000,00"</f>
        <v>600.000,00</v>
      </c>
      <c r="P477" s="4"/>
    </row>
    <row r="478" spans="2:16" ht="78.75" x14ac:dyDescent="0.25">
      <c r="B478" s="2">
        <v>312</v>
      </c>
      <c r="C478" s="2" t="str">
        <f>"1-15/NOS-91/14"</f>
        <v>1-15/NOS-91/14</v>
      </c>
      <c r="D478" s="2" t="s">
        <v>16</v>
      </c>
      <c r="E478" s="2" t="s">
        <v>690</v>
      </c>
      <c r="F478" s="2" t="s">
        <v>816</v>
      </c>
      <c r="G478" s="2" t="str">
        <f>"1-15/NOS-91/14"</f>
        <v>1-15/NOS-91/14</v>
      </c>
      <c r="H478" s="2" t="str">
        <f t="shared" si="4"/>
        <v>Ugovor na temelju okvirnog sporazuma</v>
      </c>
      <c r="I478" s="2" t="s">
        <v>19</v>
      </c>
      <c r="J478" s="3" t="str">
        <f>"1.746.000,00"</f>
        <v>1.746.000,00</v>
      </c>
      <c r="K478" s="2" t="s">
        <v>817</v>
      </c>
      <c r="L478" s="2" t="s">
        <v>696</v>
      </c>
      <c r="M478" s="2" t="s">
        <v>122</v>
      </c>
      <c r="N478" s="2" t="str">
        <f>"24.04.2015"</f>
        <v>24.04.2015</v>
      </c>
      <c r="O478" s="3" t="str">
        <f>"1.745.982,00"</f>
        <v>1.745.982,00</v>
      </c>
      <c r="P478" s="4"/>
    </row>
    <row r="479" spans="2:16" ht="63" x14ac:dyDescent="0.25">
      <c r="B479" s="2">
        <v>313</v>
      </c>
      <c r="C479" s="2" t="str">
        <f>"1-15/NOS-145/13"</f>
        <v>1-15/NOS-145/13</v>
      </c>
      <c r="D479" s="2" t="s">
        <v>16</v>
      </c>
      <c r="E479" s="2" t="s">
        <v>690</v>
      </c>
      <c r="F479" s="2" t="s">
        <v>818</v>
      </c>
      <c r="G479" s="2" t="str">
        <f>"1-15/NOS-145/13"</f>
        <v>1-15/NOS-145/13</v>
      </c>
      <c r="H479" s="2" t="str">
        <f t="shared" si="4"/>
        <v>Ugovor na temelju okvirnog sporazuma</v>
      </c>
      <c r="I479" s="2" t="s">
        <v>19</v>
      </c>
      <c r="J479" s="3" t="str">
        <f>"2.874.000,00"</f>
        <v>2.874.000,00</v>
      </c>
      <c r="K479" s="2" t="s">
        <v>817</v>
      </c>
      <c r="L479" s="2" t="s">
        <v>714</v>
      </c>
      <c r="M479" s="2" t="s">
        <v>501</v>
      </c>
      <c r="N479" s="2" t="str">
        <f>"12.01.2016"</f>
        <v>12.01.2016</v>
      </c>
      <c r="O479" s="3" t="str">
        <f>"2.874.000,00"</f>
        <v>2.874.000,00</v>
      </c>
      <c r="P479" s="4"/>
    </row>
    <row r="480" spans="2:16" ht="63" x14ac:dyDescent="0.25">
      <c r="B480" s="2">
        <v>314</v>
      </c>
      <c r="C480" s="2" t="str">
        <f>"1-15/NOS-48/14"</f>
        <v>1-15/NOS-48/14</v>
      </c>
      <c r="D480" s="2" t="s">
        <v>85</v>
      </c>
      <c r="E480" s="2" t="s">
        <v>690</v>
      </c>
      <c r="F480" s="2" t="s">
        <v>819</v>
      </c>
      <c r="G480" s="2" t="str">
        <f>"1-15/NOS-48/14"</f>
        <v>1-15/NOS-48/14</v>
      </c>
      <c r="H480" s="2" t="str">
        <f t="shared" si="4"/>
        <v>Ugovor na temelju okvirnog sporazuma</v>
      </c>
      <c r="I480" s="2" t="s">
        <v>19</v>
      </c>
      <c r="J480" s="3" t="str">
        <f>"550.487,00"</f>
        <v>550.487,00</v>
      </c>
      <c r="K480" s="2" t="s">
        <v>820</v>
      </c>
      <c r="L480" s="2" t="s">
        <v>696</v>
      </c>
      <c r="M480" s="2" t="s">
        <v>342</v>
      </c>
      <c r="N480" s="2" t="str">
        <f>"02.09.2015"</f>
        <v>02.09.2015</v>
      </c>
      <c r="O480" s="3" t="str">
        <f>"548.473,73"</f>
        <v>548.473,73</v>
      </c>
      <c r="P480" s="4"/>
    </row>
    <row r="481" spans="2:16" ht="63" x14ac:dyDescent="0.25">
      <c r="B481" s="2">
        <v>315</v>
      </c>
      <c r="C481" s="2" t="str">
        <f>"24-14/NOS-101/12"</f>
        <v>24-14/NOS-101/12</v>
      </c>
      <c r="D481" s="2" t="s">
        <v>85</v>
      </c>
      <c r="E481" s="2" t="s">
        <v>690</v>
      </c>
      <c r="F481" s="2" t="s">
        <v>821</v>
      </c>
      <c r="G481" s="2" t="str">
        <f>"24-14/NOS-101/12"</f>
        <v>24-14/NOS-101/12</v>
      </c>
      <c r="H481" s="2" t="str">
        <f t="shared" si="4"/>
        <v>Ugovor na temelju okvirnog sporazuma</v>
      </c>
      <c r="I481" s="2" t="s">
        <v>19</v>
      </c>
      <c r="J481" s="3" t="str">
        <f>"132.176,00"</f>
        <v>132.176,00</v>
      </c>
      <c r="K481" s="2" t="s">
        <v>820</v>
      </c>
      <c r="L481" s="2" t="s">
        <v>714</v>
      </c>
      <c r="M481" s="2" t="s">
        <v>303</v>
      </c>
      <c r="N481" s="2" t="str">
        <f>"28.04.2015"</f>
        <v>28.04.2015</v>
      </c>
      <c r="O481" s="3" t="str">
        <f>"103.789,90"</f>
        <v>103.789,90</v>
      </c>
      <c r="P481" s="4"/>
    </row>
    <row r="482" spans="2:16" ht="63" x14ac:dyDescent="0.25">
      <c r="B482" s="2">
        <v>316</v>
      </c>
      <c r="C482" s="2" t="str">
        <f>"3-15/NOS-104/14"</f>
        <v>3-15/NOS-104/14</v>
      </c>
      <c r="D482" s="2" t="s">
        <v>16</v>
      </c>
      <c r="E482" s="2" t="s">
        <v>690</v>
      </c>
      <c r="F482" s="2" t="s">
        <v>822</v>
      </c>
      <c r="G482" s="2" t="str">
        <f>"3-15/NOS-104/14"</f>
        <v>3-15/NOS-104/14</v>
      </c>
      <c r="H482" s="2" t="str">
        <f t="shared" si="4"/>
        <v>Ugovor na temelju okvirnog sporazuma</v>
      </c>
      <c r="I482" s="2" t="s">
        <v>19</v>
      </c>
      <c r="J482" s="3" t="str">
        <f>"1.669.380,00"</f>
        <v>1.669.380,00</v>
      </c>
      <c r="K482" s="2" t="s">
        <v>105</v>
      </c>
      <c r="L482" s="2" t="s">
        <v>408</v>
      </c>
      <c r="M482" s="2" t="s">
        <v>40</v>
      </c>
      <c r="N482" s="2" t="str">
        <f>"16.12.2015"</f>
        <v>16.12.2015</v>
      </c>
      <c r="O482" s="3" t="str">
        <f>"1.513.396,00"</f>
        <v>1.513.396,00</v>
      </c>
      <c r="P482" s="2"/>
    </row>
    <row r="483" spans="2:16" ht="63" x14ac:dyDescent="0.25">
      <c r="B483" s="2">
        <v>317</v>
      </c>
      <c r="C483" s="2" t="str">
        <f>"1-15/NOS-78/14"</f>
        <v>1-15/NOS-78/14</v>
      </c>
      <c r="D483" s="2" t="s">
        <v>85</v>
      </c>
      <c r="E483" s="2" t="s">
        <v>690</v>
      </c>
      <c r="F483" s="2" t="s">
        <v>823</v>
      </c>
      <c r="G483" s="2" t="str">
        <f>"1-15/NOS-78/14"</f>
        <v>1-15/NOS-78/14</v>
      </c>
      <c r="H483" s="2" t="str">
        <f t="shared" si="4"/>
        <v>Ugovor na temelju okvirnog sporazuma</v>
      </c>
      <c r="I483" s="2" t="s">
        <v>19</v>
      </c>
      <c r="J483" s="3" t="str">
        <f>"856.761,00"</f>
        <v>856.761,00</v>
      </c>
      <c r="K483" s="2" t="s">
        <v>25</v>
      </c>
      <c r="L483" s="2" t="s">
        <v>696</v>
      </c>
      <c r="M483" s="2" t="s">
        <v>824</v>
      </c>
      <c r="N483" s="2" t="str">
        <f>"31.08.2015"</f>
        <v>31.08.2015</v>
      </c>
      <c r="O483" s="3" t="str">
        <f>"812.126,07"</f>
        <v>812.126,07</v>
      </c>
      <c r="P483" s="4"/>
    </row>
    <row r="484" spans="2:16" ht="63" x14ac:dyDescent="0.25">
      <c r="B484" s="2">
        <v>318</v>
      </c>
      <c r="C484" s="2" t="str">
        <f>"1-15/NOS-61/14"</f>
        <v>1-15/NOS-61/14</v>
      </c>
      <c r="D484" s="2" t="s">
        <v>16</v>
      </c>
      <c r="E484" s="2" t="s">
        <v>690</v>
      </c>
      <c r="F484" s="2" t="s">
        <v>825</v>
      </c>
      <c r="G484" s="2" t="str">
        <f>"1-15/NOS-61/14"</f>
        <v>1-15/NOS-61/14</v>
      </c>
      <c r="H484" s="2" t="str">
        <f t="shared" si="4"/>
        <v>Ugovor na temelju okvirnog sporazuma</v>
      </c>
      <c r="I484" s="2" t="s">
        <v>19</v>
      </c>
      <c r="J484" s="3" t="str">
        <f>"1.975.024,10"</f>
        <v>1.975.024,10</v>
      </c>
      <c r="K484" s="2" t="s">
        <v>105</v>
      </c>
      <c r="L484" s="2" t="s">
        <v>826</v>
      </c>
      <c r="M484" s="2" t="s">
        <v>827</v>
      </c>
      <c r="N484" s="2" t="s">
        <v>23</v>
      </c>
      <c r="O484" s="3" t="str">
        <f>"0,00"</f>
        <v>0,00</v>
      </c>
      <c r="P484" s="4"/>
    </row>
    <row r="485" spans="2:16" ht="110.25" x14ac:dyDescent="0.25">
      <c r="B485" s="2">
        <v>319</v>
      </c>
      <c r="C485" s="2" t="str">
        <f>"16-14/NOS-130/11"</f>
        <v>16-14/NOS-130/11</v>
      </c>
      <c r="D485" s="2" t="s">
        <v>16</v>
      </c>
      <c r="E485" s="2" t="s">
        <v>690</v>
      </c>
      <c r="F485" s="2" t="s">
        <v>828</v>
      </c>
      <c r="G485" s="2" t="str">
        <f>"16-14/NOS-130/11"</f>
        <v>16-14/NOS-130/11</v>
      </c>
      <c r="H485" s="2" t="str">
        <f t="shared" si="4"/>
        <v>Ugovor na temelju okvirnog sporazuma</v>
      </c>
      <c r="I485" s="2" t="s">
        <v>19</v>
      </c>
      <c r="J485" s="3" t="str">
        <f>"1.566.584,19"</f>
        <v>1.566.584,19</v>
      </c>
      <c r="K485" s="2" t="s">
        <v>829</v>
      </c>
      <c r="L485" s="2" t="s">
        <v>448</v>
      </c>
      <c r="M485" s="2" t="s">
        <v>559</v>
      </c>
      <c r="N485" s="2" t="str">
        <f>"11.01.2016"</f>
        <v>11.01.2016</v>
      </c>
      <c r="O485" s="3" t="str">
        <f>"1.068.771,42"</f>
        <v>1.068.771,42</v>
      </c>
      <c r="P485" s="4"/>
    </row>
    <row r="486" spans="2:16" ht="78.75" x14ac:dyDescent="0.25">
      <c r="B486" s="2">
        <v>320</v>
      </c>
      <c r="C486" s="2" t="str">
        <f>"4-15/NOS-190/13"</f>
        <v>4-15/NOS-190/13</v>
      </c>
      <c r="D486" s="2" t="s">
        <v>16</v>
      </c>
      <c r="E486" s="2" t="s">
        <v>690</v>
      </c>
      <c r="F486" s="2" t="s">
        <v>830</v>
      </c>
      <c r="G486" s="2" t="str">
        <f>"4-15/NOS-190/13"</f>
        <v>4-15/NOS-190/13</v>
      </c>
      <c r="H486" s="2" t="str">
        <f t="shared" si="4"/>
        <v>Ugovor na temelju okvirnog sporazuma</v>
      </c>
      <c r="I486" s="2" t="s">
        <v>19</v>
      </c>
      <c r="J486" s="3" t="str">
        <f>"337.500,00"</f>
        <v>337.500,00</v>
      </c>
      <c r="K486" s="2" t="s">
        <v>829</v>
      </c>
      <c r="L486" s="2" t="s">
        <v>696</v>
      </c>
      <c r="M486" s="2" t="s">
        <v>201</v>
      </c>
      <c r="N486" s="2" t="str">
        <f>"11.08.2015"</f>
        <v>11.08.2015</v>
      </c>
      <c r="O486" s="3" t="str">
        <f>"337.500,00"</f>
        <v>337.500,00</v>
      </c>
      <c r="P486" s="4"/>
    </row>
    <row r="487" spans="2:16" ht="63" x14ac:dyDescent="0.25">
      <c r="B487" s="2">
        <v>321</v>
      </c>
      <c r="C487" s="2" t="str">
        <f>"3-15/NOS-116-C/11"</f>
        <v>3-15/NOS-116-C/11</v>
      </c>
      <c r="D487" s="2" t="s">
        <v>16</v>
      </c>
      <c r="E487" s="2" t="s">
        <v>690</v>
      </c>
      <c r="F487" s="2" t="s">
        <v>831</v>
      </c>
      <c r="G487" s="2" t="str">
        <f>"3-15/NOS-116-C/11"</f>
        <v>3-15/NOS-116-C/11</v>
      </c>
      <c r="H487" s="2" t="str">
        <f t="shared" si="4"/>
        <v>Ugovor na temelju okvirnog sporazuma</v>
      </c>
      <c r="I487" s="2" t="s">
        <v>19</v>
      </c>
      <c r="J487" s="3" t="str">
        <f>"304.500,00"</f>
        <v>304.500,00</v>
      </c>
      <c r="K487" s="2" t="s">
        <v>132</v>
      </c>
      <c r="L487" s="2" t="s">
        <v>743</v>
      </c>
      <c r="M487" s="2" t="s">
        <v>832</v>
      </c>
      <c r="N487" s="2" t="str">
        <f>"26.06.2015"</f>
        <v>26.06.2015</v>
      </c>
      <c r="O487" s="3" t="str">
        <f>"228.345,08"</f>
        <v>228.345,08</v>
      </c>
      <c r="P487" s="4"/>
    </row>
    <row r="488" spans="2:16" ht="126" x14ac:dyDescent="0.25">
      <c r="B488" s="2">
        <v>322</v>
      </c>
      <c r="C488" s="2" t="str">
        <f>"1-15/NOS-31-B/13"</f>
        <v>1-15/NOS-31-B/13</v>
      </c>
      <c r="D488" s="2" t="s">
        <v>16</v>
      </c>
      <c r="E488" s="2" t="s">
        <v>690</v>
      </c>
      <c r="F488" s="2" t="s">
        <v>833</v>
      </c>
      <c r="G488" s="2" t="str">
        <f>"1-15/NOS-31-B/13"</f>
        <v>1-15/NOS-31-B/13</v>
      </c>
      <c r="H488" s="2" t="str">
        <f t="shared" si="4"/>
        <v>Ugovor na temelju okvirnog sporazuma</v>
      </c>
      <c r="I488" s="2" t="s">
        <v>19</v>
      </c>
      <c r="J488" s="3" t="str">
        <f>"135.000,00"</f>
        <v>135.000,00</v>
      </c>
      <c r="K488" s="2" t="s">
        <v>132</v>
      </c>
      <c r="L488" s="2" t="s">
        <v>408</v>
      </c>
      <c r="M488" s="2" t="s">
        <v>122</v>
      </c>
      <c r="N488" s="2" t="s">
        <v>23</v>
      </c>
      <c r="O488" s="3" t="str">
        <f>"0,00"</f>
        <v>0,00</v>
      </c>
      <c r="P488" s="4"/>
    </row>
    <row r="489" spans="2:16" ht="63" x14ac:dyDescent="0.25">
      <c r="B489" s="2">
        <v>323</v>
      </c>
      <c r="C489" s="2" t="str">
        <f>"2-15/NOS-86/14"</f>
        <v>2-15/NOS-86/14</v>
      </c>
      <c r="D489" s="2" t="s">
        <v>16</v>
      </c>
      <c r="E489" s="2" t="s">
        <v>690</v>
      </c>
      <c r="F489" s="2" t="s">
        <v>834</v>
      </c>
      <c r="G489" s="2" t="str">
        <f>"2-15/NOS-86/14"</f>
        <v>2-15/NOS-86/14</v>
      </c>
      <c r="H489" s="2" t="str">
        <f t="shared" si="4"/>
        <v>Ugovor na temelju okvirnog sporazuma</v>
      </c>
      <c r="I489" s="2" t="s">
        <v>19</v>
      </c>
      <c r="J489" s="3" t="str">
        <f>"149.222,40"</f>
        <v>149.222,40</v>
      </c>
      <c r="K489" s="2" t="s">
        <v>132</v>
      </c>
      <c r="L489" s="2" t="s">
        <v>696</v>
      </c>
      <c r="M489" s="2" t="s">
        <v>142</v>
      </c>
      <c r="N489" s="2" t="str">
        <f>"14.09.2015"</f>
        <v>14.09.2015</v>
      </c>
      <c r="O489" s="3" t="str">
        <f>"131.622,02"</f>
        <v>131.622,02</v>
      </c>
      <c r="P489" s="4"/>
    </row>
    <row r="490" spans="2:16" ht="63" x14ac:dyDescent="0.25">
      <c r="B490" s="2">
        <v>324</v>
      </c>
      <c r="C490" s="2" t="str">
        <f>"15-15/NOS-11-ZGH/14"</f>
        <v>15-15/NOS-11-ZGH/14</v>
      </c>
      <c r="D490" s="2" t="s">
        <v>16</v>
      </c>
      <c r="E490" s="2" t="s">
        <v>690</v>
      </c>
      <c r="F490" s="2" t="s">
        <v>835</v>
      </c>
      <c r="G490" s="2" t="str">
        <f>"15-15/NOS-11-ZGH/14"</f>
        <v>15-15/NOS-11-ZGH/14</v>
      </c>
      <c r="H490" s="2" t="str">
        <f t="shared" si="4"/>
        <v>Ugovor na temelju okvirnog sporazuma</v>
      </c>
      <c r="I490" s="2" t="s">
        <v>19</v>
      </c>
      <c r="J490" s="3" t="str">
        <f>"710.749,76"</f>
        <v>710.749,76</v>
      </c>
      <c r="K490" s="2" t="s">
        <v>128</v>
      </c>
      <c r="L490" s="2" t="s">
        <v>696</v>
      </c>
      <c r="M490" s="2" t="s">
        <v>836</v>
      </c>
      <c r="N490" s="2" t="str">
        <f>"18.09.2015"</f>
        <v>18.09.2015</v>
      </c>
      <c r="O490" s="3" t="str">
        <f>"269.864,61"</f>
        <v>269.864,61</v>
      </c>
      <c r="P490" s="4"/>
    </row>
    <row r="491" spans="2:16" s="19" customFormat="1" ht="63" x14ac:dyDescent="0.25">
      <c r="B491" s="16">
        <v>325</v>
      </c>
      <c r="C491" s="16" t="str">
        <f>"2-15/NOS-12-A/14"</f>
        <v>2-15/NOS-12-A/14</v>
      </c>
      <c r="D491" s="16" t="s">
        <v>16</v>
      </c>
      <c r="E491" s="16" t="s">
        <v>690</v>
      </c>
      <c r="F491" s="16" t="s">
        <v>837</v>
      </c>
      <c r="G491" s="16" t="str">
        <f>"2-15/NOS-12-A/14"</f>
        <v>2-15/NOS-12-A/14</v>
      </c>
      <c r="H491" s="16" t="str">
        <f t="shared" si="4"/>
        <v>Ugovor na temelju okvirnog sporazuma</v>
      </c>
      <c r="I491" s="16" t="s">
        <v>19</v>
      </c>
      <c r="J491" s="17" t="str">
        <f>"132.520,00"</f>
        <v>132.520,00</v>
      </c>
      <c r="K491" s="16" t="s">
        <v>128</v>
      </c>
      <c r="L491" s="16" t="s">
        <v>526</v>
      </c>
      <c r="M491" s="16" t="s">
        <v>518</v>
      </c>
      <c r="N491" s="16" t="str">
        <f>"23.11.2015"</f>
        <v>23.11.2015</v>
      </c>
      <c r="O491" s="17" t="str">
        <f>"133.545,00"</f>
        <v>133.545,00</v>
      </c>
      <c r="P491" s="16" t="s">
        <v>697</v>
      </c>
    </row>
    <row r="492" spans="2:16" ht="63" x14ac:dyDescent="0.25">
      <c r="B492" s="2">
        <v>326</v>
      </c>
      <c r="C492" s="2" t="str">
        <f>"1-15/NOS-12-A/14"</f>
        <v>1-15/NOS-12-A/14</v>
      </c>
      <c r="D492" s="2" t="s">
        <v>16</v>
      </c>
      <c r="E492" s="2" t="s">
        <v>690</v>
      </c>
      <c r="F492" s="2" t="s">
        <v>838</v>
      </c>
      <c r="G492" s="2" t="str">
        <f>"1-15/NOS-12-A/14"</f>
        <v>1-15/NOS-12-A/14</v>
      </c>
      <c r="H492" s="2" t="str">
        <f t="shared" si="4"/>
        <v>Ugovor na temelju okvirnog sporazuma</v>
      </c>
      <c r="I492" s="2" t="s">
        <v>19</v>
      </c>
      <c r="J492" s="3" t="str">
        <f>"1.920.000,00"</f>
        <v>1.920.000,00</v>
      </c>
      <c r="K492" s="2" t="s">
        <v>128</v>
      </c>
      <c r="L492" s="2" t="s">
        <v>743</v>
      </c>
      <c r="M492" s="2" t="s">
        <v>518</v>
      </c>
      <c r="N492" s="2" t="str">
        <f>"15.09.2015"</f>
        <v>15.09.2015</v>
      </c>
      <c r="O492" s="3" t="str">
        <f>"1.917.585,50"</f>
        <v>1.917.585,50</v>
      </c>
      <c r="P492" s="4"/>
    </row>
    <row r="493" spans="2:16" ht="63" x14ac:dyDescent="0.25">
      <c r="B493" s="2">
        <v>327</v>
      </c>
      <c r="C493" s="2" t="str">
        <f>"1-15/NOS-86/14"</f>
        <v>1-15/NOS-86/14</v>
      </c>
      <c r="D493" s="2" t="s">
        <v>16</v>
      </c>
      <c r="E493" s="2" t="s">
        <v>690</v>
      </c>
      <c r="F493" s="2" t="s">
        <v>839</v>
      </c>
      <c r="G493" s="2" t="str">
        <f>"1-15/NOS-86/14"</f>
        <v>1-15/NOS-86/14</v>
      </c>
      <c r="H493" s="2" t="str">
        <f t="shared" si="4"/>
        <v>Ugovor na temelju okvirnog sporazuma</v>
      </c>
      <c r="I493" s="2" t="s">
        <v>19</v>
      </c>
      <c r="J493" s="3" t="str">
        <f>"720.200,00"</f>
        <v>720.200,00</v>
      </c>
      <c r="K493" s="2" t="s">
        <v>128</v>
      </c>
      <c r="L493" s="2" t="s">
        <v>743</v>
      </c>
      <c r="M493" s="2" t="s">
        <v>142</v>
      </c>
      <c r="N493" s="2" t="str">
        <f>"09.12.2015"</f>
        <v>09.12.2015</v>
      </c>
      <c r="O493" s="3" t="str">
        <f>"438.272,40"</f>
        <v>438.272,40</v>
      </c>
      <c r="P493" s="4"/>
    </row>
    <row r="494" spans="2:16" ht="141.75" x14ac:dyDescent="0.25">
      <c r="B494" s="2">
        <v>328</v>
      </c>
      <c r="C494" s="2" t="str">
        <f>"1-15/NOS-12-C/14"</f>
        <v>1-15/NOS-12-C/14</v>
      </c>
      <c r="D494" s="2" t="s">
        <v>16</v>
      </c>
      <c r="E494" s="2" t="s">
        <v>690</v>
      </c>
      <c r="F494" s="2" t="s">
        <v>840</v>
      </c>
      <c r="G494" s="2" t="str">
        <f>"1-15/NOS-12-C/14"</f>
        <v>1-15/NOS-12-C/14</v>
      </c>
      <c r="H494" s="2" t="str">
        <f t="shared" si="4"/>
        <v>Ugovor na temelju okvirnog sporazuma</v>
      </c>
      <c r="I494" s="2" t="s">
        <v>19</v>
      </c>
      <c r="J494" s="3" t="str">
        <f>"2.247.500,00"</f>
        <v>2.247.500,00</v>
      </c>
      <c r="K494" s="2" t="s">
        <v>128</v>
      </c>
      <c r="L494" s="2" t="s">
        <v>743</v>
      </c>
      <c r="M494" s="2" t="s">
        <v>841</v>
      </c>
      <c r="N494" s="2" t="str">
        <f>"05.01.2016"</f>
        <v>05.01.2016</v>
      </c>
      <c r="O494" s="3" t="str">
        <f>"2.240.917,80"</f>
        <v>2.240.917,80</v>
      </c>
      <c r="P494" s="4"/>
    </row>
    <row r="495" spans="2:16" ht="63" x14ac:dyDescent="0.25">
      <c r="B495" s="2">
        <v>329</v>
      </c>
      <c r="C495" s="2" t="str">
        <f>"1-15/NOS-172/13"</f>
        <v>1-15/NOS-172/13</v>
      </c>
      <c r="D495" s="2" t="s">
        <v>16</v>
      </c>
      <c r="E495" s="2" t="s">
        <v>690</v>
      </c>
      <c r="F495" s="2" t="s">
        <v>842</v>
      </c>
      <c r="G495" s="2" t="str">
        <f>"1-15/NOS-172/13"</f>
        <v>1-15/NOS-172/13</v>
      </c>
      <c r="H495" s="2" t="str">
        <f t="shared" si="4"/>
        <v>Ugovor na temelju okvirnog sporazuma</v>
      </c>
      <c r="I495" s="2" t="s">
        <v>19</v>
      </c>
      <c r="J495" s="3" t="str">
        <f>"127.487,50"</f>
        <v>127.487,50</v>
      </c>
      <c r="K495" s="2" t="s">
        <v>714</v>
      </c>
      <c r="L495" s="2" t="s">
        <v>408</v>
      </c>
      <c r="M495" s="2" t="s">
        <v>843</v>
      </c>
      <c r="N495" s="2" t="str">
        <f>"10.12.2015"</f>
        <v>10.12.2015</v>
      </c>
      <c r="O495" s="3" t="str">
        <f>"73.625,00"</f>
        <v>73.625,00</v>
      </c>
      <c r="P495" s="4"/>
    </row>
    <row r="496" spans="2:16" ht="63" x14ac:dyDescent="0.25">
      <c r="B496" s="2">
        <v>330</v>
      </c>
      <c r="C496" s="2" t="str">
        <f>"1-15/NOS-101/12"</f>
        <v>1-15/NOS-101/12</v>
      </c>
      <c r="D496" s="2" t="s">
        <v>16</v>
      </c>
      <c r="E496" s="2" t="s">
        <v>690</v>
      </c>
      <c r="F496" s="2" t="s">
        <v>844</v>
      </c>
      <c r="G496" s="2" t="str">
        <f>"1-15/NOS-101/12"</f>
        <v>1-15/NOS-101/12</v>
      </c>
      <c r="H496" s="2" t="str">
        <f t="shared" si="4"/>
        <v>Ugovor na temelju okvirnog sporazuma</v>
      </c>
      <c r="I496" s="2" t="s">
        <v>19</v>
      </c>
      <c r="J496" s="3" t="str">
        <f>"655.708,90"</f>
        <v>655.708,90</v>
      </c>
      <c r="K496" s="2" t="s">
        <v>78</v>
      </c>
      <c r="L496" s="2" t="s">
        <v>526</v>
      </c>
      <c r="M496" s="2" t="s">
        <v>303</v>
      </c>
      <c r="N496" s="2" t="str">
        <f>"08.09.2015"</f>
        <v>08.09.2015</v>
      </c>
      <c r="O496" s="3" t="str">
        <f>"546.355,24"</f>
        <v>546.355,24</v>
      </c>
      <c r="P496" s="2"/>
    </row>
    <row r="497" spans="2:16" ht="63" x14ac:dyDescent="0.25">
      <c r="B497" s="2">
        <v>331</v>
      </c>
      <c r="C497" s="2" t="str">
        <f>"36-15/NOS-220/13"</f>
        <v>36-15/NOS-220/13</v>
      </c>
      <c r="D497" s="2" t="s">
        <v>16</v>
      </c>
      <c r="E497" s="2" t="s">
        <v>690</v>
      </c>
      <c r="F497" s="2" t="s">
        <v>845</v>
      </c>
      <c r="G497" s="2" t="str">
        <f>"36-15/NOS-220/13"</f>
        <v>36-15/NOS-220/13</v>
      </c>
      <c r="H497" s="2" t="str">
        <f t="shared" si="4"/>
        <v>Ugovor na temelju okvirnog sporazuma</v>
      </c>
      <c r="I497" s="2" t="s">
        <v>19</v>
      </c>
      <c r="J497" s="3" t="str">
        <f>"943.931,00"</f>
        <v>943.931,00</v>
      </c>
      <c r="K497" s="2" t="s">
        <v>78</v>
      </c>
      <c r="L497" s="2" t="s">
        <v>526</v>
      </c>
      <c r="M497" s="2" t="s">
        <v>711</v>
      </c>
      <c r="N497" s="2" t="str">
        <f>"07.10.2015"</f>
        <v>07.10.2015</v>
      </c>
      <c r="O497" s="3" t="str">
        <f>"606.621,00"</f>
        <v>606.621,00</v>
      </c>
      <c r="P497" s="4"/>
    </row>
    <row r="498" spans="2:16" ht="63" x14ac:dyDescent="0.25">
      <c r="B498" s="2">
        <v>332</v>
      </c>
      <c r="C498" s="2" t="str">
        <f>"1-15/NOS-169/13"</f>
        <v>1-15/NOS-169/13</v>
      </c>
      <c r="D498" s="2" t="s">
        <v>16</v>
      </c>
      <c r="E498" s="2" t="s">
        <v>690</v>
      </c>
      <c r="F498" s="2" t="s">
        <v>846</v>
      </c>
      <c r="G498" s="2" t="str">
        <f>"1-15/NOS-169/13"</f>
        <v>1-15/NOS-169/13</v>
      </c>
      <c r="H498" s="2" t="str">
        <f t="shared" si="4"/>
        <v>Ugovor na temelju okvirnog sporazuma</v>
      </c>
      <c r="I498" s="2" t="s">
        <v>19</v>
      </c>
      <c r="J498" s="3" t="str">
        <f>"67.000,00"</f>
        <v>67.000,00</v>
      </c>
      <c r="K498" s="2" t="s">
        <v>78</v>
      </c>
      <c r="L498" s="2" t="s">
        <v>696</v>
      </c>
      <c r="M498" s="2" t="s">
        <v>84</v>
      </c>
      <c r="N498" s="2" t="str">
        <f>"24.11.2015"</f>
        <v>24.11.2015</v>
      </c>
      <c r="O498" s="3" t="str">
        <f>"67.000,00"</f>
        <v>67.000,00</v>
      </c>
      <c r="P498" s="2"/>
    </row>
    <row r="499" spans="2:16" ht="63" x14ac:dyDescent="0.25">
      <c r="B499" s="2">
        <v>333</v>
      </c>
      <c r="C499" s="2" t="str">
        <f>"1-15/NOS-81/13"</f>
        <v>1-15/NOS-81/13</v>
      </c>
      <c r="D499" s="2" t="s">
        <v>16</v>
      </c>
      <c r="E499" s="2" t="s">
        <v>690</v>
      </c>
      <c r="F499" s="2" t="s">
        <v>847</v>
      </c>
      <c r="G499" s="2" t="str">
        <f>"1-15/NOS-81/13"</f>
        <v>1-15/NOS-81/13</v>
      </c>
      <c r="H499" s="2" t="str">
        <f t="shared" si="4"/>
        <v>Ugovor na temelju okvirnog sporazuma</v>
      </c>
      <c r="I499" s="2" t="s">
        <v>19</v>
      </c>
      <c r="J499" s="3" t="str">
        <f>"42.100,00"</f>
        <v>42.100,00</v>
      </c>
      <c r="K499" s="2" t="s">
        <v>78</v>
      </c>
      <c r="L499" s="2" t="s">
        <v>696</v>
      </c>
      <c r="M499" s="2" t="s">
        <v>848</v>
      </c>
      <c r="N499" s="2" t="str">
        <f>"24.04.2015"</f>
        <v>24.04.2015</v>
      </c>
      <c r="O499" s="3" t="str">
        <f>"12.630,00"</f>
        <v>12.630,00</v>
      </c>
      <c r="P499" s="4"/>
    </row>
    <row r="500" spans="2:16" ht="63" x14ac:dyDescent="0.25">
      <c r="B500" s="2">
        <v>334</v>
      </c>
      <c r="C500" s="2" t="str">
        <f>"5-15/NOS-136/13"</f>
        <v>5-15/NOS-136/13</v>
      </c>
      <c r="D500" s="2" t="s">
        <v>16</v>
      </c>
      <c r="E500" s="2" t="s">
        <v>690</v>
      </c>
      <c r="F500" s="2" t="s">
        <v>849</v>
      </c>
      <c r="G500" s="2" t="str">
        <f>"5-15/NOS-136/13"</f>
        <v>5-15/NOS-136/13</v>
      </c>
      <c r="H500" s="2" t="str">
        <f t="shared" si="4"/>
        <v>Ugovor na temelju okvirnog sporazuma</v>
      </c>
      <c r="I500" s="2" t="s">
        <v>19</v>
      </c>
      <c r="J500" s="3" t="str">
        <f>"130.199,60"</f>
        <v>130.199,60</v>
      </c>
      <c r="K500" s="2" t="s">
        <v>148</v>
      </c>
      <c r="L500" s="2" t="s">
        <v>696</v>
      </c>
      <c r="M500" s="2" t="s">
        <v>84</v>
      </c>
      <c r="N500" s="2" t="str">
        <f>"05.01.2016"</f>
        <v>05.01.2016</v>
      </c>
      <c r="O500" s="3" t="str">
        <f>"56.553,50"</f>
        <v>56.553,50</v>
      </c>
      <c r="P500" s="2"/>
    </row>
    <row r="501" spans="2:16" ht="63" x14ac:dyDescent="0.25">
      <c r="B501" s="2">
        <v>335</v>
      </c>
      <c r="C501" s="2" t="str">
        <f>"1-15/NOS-217/13"</f>
        <v>1-15/NOS-217/13</v>
      </c>
      <c r="D501" s="2" t="s">
        <v>16</v>
      </c>
      <c r="E501" s="2" t="s">
        <v>690</v>
      </c>
      <c r="F501" s="2" t="s">
        <v>850</v>
      </c>
      <c r="G501" s="2" t="str">
        <f>"1-15/NOS-217/13"</f>
        <v>1-15/NOS-217/13</v>
      </c>
      <c r="H501" s="2" t="str">
        <f t="shared" si="4"/>
        <v>Ugovor na temelju okvirnog sporazuma</v>
      </c>
      <c r="I501" s="2" t="s">
        <v>19</v>
      </c>
      <c r="J501" s="3" t="str">
        <f>"54.000,40"</f>
        <v>54.000,40</v>
      </c>
      <c r="K501" s="2" t="s">
        <v>148</v>
      </c>
      <c r="L501" s="2" t="s">
        <v>448</v>
      </c>
      <c r="M501" s="2" t="s">
        <v>73</v>
      </c>
      <c r="N501" s="2" t="str">
        <f>"20.10.2015"</f>
        <v>20.10.2015</v>
      </c>
      <c r="O501" s="3" t="str">
        <f>"52.300,00"</f>
        <v>52.300,00</v>
      </c>
      <c r="P501" s="4"/>
    </row>
    <row r="502" spans="2:16" ht="63" x14ac:dyDescent="0.25">
      <c r="B502" s="2">
        <v>336</v>
      </c>
      <c r="C502" s="2" t="str">
        <f>"1-15/NOS-182/13"</f>
        <v>1-15/NOS-182/13</v>
      </c>
      <c r="D502" s="2" t="s">
        <v>16</v>
      </c>
      <c r="E502" s="2" t="s">
        <v>690</v>
      </c>
      <c r="F502" s="2" t="s">
        <v>851</v>
      </c>
      <c r="G502" s="2" t="str">
        <f>"1-15/NOS-182/13"</f>
        <v>1-15/NOS-182/13</v>
      </c>
      <c r="H502" s="2" t="str">
        <f t="shared" si="4"/>
        <v>Ugovor na temelju okvirnog sporazuma</v>
      </c>
      <c r="I502" s="2" t="s">
        <v>19</v>
      </c>
      <c r="J502" s="3" t="str">
        <f>"50.250,00"</f>
        <v>50.250,00</v>
      </c>
      <c r="K502" s="2" t="s">
        <v>852</v>
      </c>
      <c r="L502" s="2" t="s">
        <v>696</v>
      </c>
      <c r="M502" s="2" t="s">
        <v>853</v>
      </c>
      <c r="N502" s="2" t="str">
        <f>"13.05.2015"</f>
        <v>13.05.2015</v>
      </c>
      <c r="O502" s="3" t="str">
        <f>"49.483,69"</f>
        <v>49.483,69</v>
      </c>
      <c r="P502" s="4"/>
    </row>
    <row r="503" spans="2:16" ht="78.75" x14ac:dyDescent="0.25">
      <c r="B503" s="2">
        <v>337</v>
      </c>
      <c r="C503" s="2" t="str">
        <f>"1-15/NOS-75/14"</f>
        <v>1-15/NOS-75/14</v>
      </c>
      <c r="D503" s="2" t="s">
        <v>16</v>
      </c>
      <c r="E503" s="2" t="s">
        <v>690</v>
      </c>
      <c r="F503" s="2" t="s">
        <v>854</v>
      </c>
      <c r="G503" s="2" t="str">
        <f>"1-15/NOS-75/14"</f>
        <v>1-15/NOS-75/14</v>
      </c>
      <c r="H503" s="2" t="str">
        <f t="shared" si="4"/>
        <v>Ugovor na temelju okvirnog sporazuma</v>
      </c>
      <c r="I503" s="2" t="s">
        <v>19</v>
      </c>
      <c r="J503" s="3" t="str">
        <f>"298.800,00"</f>
        <v>298.800,00</v>
      </c>
      <c r="K503" s="2" t="s">
        <v>852</v>
      </c>
      <c r="L503" s="2" t="s">
        <v>696</v>
      </c>
      <c r="M503" s="2" t="s">
        <v>590</v>
      </c>
      <c r="N503" s="2" t="str">
        <f>"24.09.2015"</f>
        <v>24.09.2015</v>
      </c>
      <c r="O503" s="3" t="str">
        <f>"298.800,00"</f>
        <v>298.800,00</v>
      </c>
      <c r="P503" s="4"/>
    </row>
    <row r="504" spans="2:16" ht="63" x14ac:dyDescent="0.25">
      <c r="B504" s="2">
        <v>338</v>
      </c>
      <c r="C504" s="2" t="str">
        <f>"1-15/NOS-132/13"</f>
        <v>1-15/NOS-132/13</v>
      </c>
      <c r="D504" s="2" t="s">
        <v>16</v>
      </c>
      <c r="E504" s="2" t="s">
        <v>690</v>
      </c>
      <c r="F504" s="2" t="s">
        <v>855</v>
      </c>
      <c r="G504" s="2" t="str">
        <f>"1-15/NOS-132/13"</f>
        <v>1-15/NOS-132/13</v>
      </c>
      <c r="H504" s="2" t="str">
        <f t="shared" si="4"/>
        <v>Ugovor na temelju okvirnog sporazuma</v>
      </c>
      <c r="I504" s="2" t="s">
        <v>19</v>
      </c>
      <c r="J504" s="3" t="str">
        <f>"114.600,00"</f>
        <v>114.600,00</v>
      </c>
      <c r="K504" s="2" t="s">
        <v>852</v>
      </c>
      <c r="L504" s="2" t="s">
        <v>696</v>
      </c>
      <c r="M504" s="2" t="s">
        <v>856</v>
      </c>
      <c r="N504" s="2" t="str">
        <f>"23.06.2015"</f>
        <v>23.06.2015</v>
      </c>
      <c r="O504" s="3" t="str">
        <f>"114.600,00"</f>
        <v>114.600,00</v>
      </c>
      <c r="P504" s="4"/>
    </row>
    <row r="505" spans="2:16" ht="78.75" x14ac:dyDescent="0.25">
      <c r="B505" s="2">
        <v>339</v>
      </c>
      <c r="C505" s="2" t="str">
        <f>"1-15/NOS-92/14"</f>
        <v>1-15/NOS-92/14</v>
      </c>
      <c r="D505" s="2" t="s">
        <v>16</v>
      </c>
      <c r="E505" s="2" t="s">
        <v>690</v>
      </c>
      <c r="F505" s="2" t="s">
        <v>857</v>
      </c>
      <c r="G505" s="2" t="str">
        <f>"1-15/NOS-92/14"</f>
        <v>1-15/NOS-92/14</v>
      </c>
      <c r="H505" s="2" t="str">
        <f t="shared" si="4"/>
        <v>Ugovor na temelju okvirnog sporazuma</v>
      </c>
      <c r="I505" s="2" t="s">
        <v>19</v>
      </c>
      <c r="J505" s="3" t="str">
        <f>"621.605,00"</f>
        <v>621.605,00</v>
      </c>
      <c r="K505" s="2" t="s">
        <v>858</v>
      </c>
      <c r="L505" s="2" t="s">
        <v>696</v>
      </c>
      <c r="M505" s="2" t="s">
        <v>859</v>
      </c>
      <c r="N505" s="2" t="str">
        <f>"20.04.2015"</f>
        <v>20.04.2015</v>
      </c>
      <c r="O505" s="3" t="str">
        <f>"614.105,00"</f>
        <v>614.105,00</v>
      </c>
      <c r="P505" s="4"/>
    </row>
    <row r="506" spans="2:16" ht="63" x14ac:dyDescent="0.25">
      <c r="B506" s="2">
        <v>340</v>
      </c>
      <c r="C506" s="2" t="str">
        <f>"2-15/NOS-106/14"</f>
        <v>2-15/NOS-106/14</v>
      </c>
      <c r="D506" s="2" t="s">
        <v>16</v>
      </c>
      <c r="E506" s="2" t="s">
        <v>690</v>
      </c>
      <c r="F506" s="2" t="s">
        <v>860</v>
      </c>
      <c r="G506" s="2" t="str">
        <f>"2-15/NOS-106/14"</f>
        <v>2-15/NOS-106/14</v>
      </c>
      <c r="H506" s="2" t="str">
        <f t="shared" si="4"/>
        <v>Ugovor na temelju okvirnog sporazuma</v>
      </c>
      <c r="I506" s="2" t="s">
        <v>19</v>
      </c>
      <c r="J506" s="3" t="str">
        <f>"158.505,00"</f>
        <v>158.505,00</v>
      </c>
      <c r="K506" s="2" t="s">
        <v>858</v>
      </c>
      <c r="L506" s="2" t="s">
        <v>408</v>
      </c>
      <c r="M506" s="2" t="s">
        <v>52</v>
      </c>
      <c r="N506" s="2" t="str">
        <f>"16.12.2015"</f>
        <v>16.12.2015</v>
      </c>
      <c r="O506" s="3" t="str">
        <f>"90.418,60"</f>
        <v>90.418,60</v>
      </c>
      <c r="P506" s="2"/>
    </row>
    <row r="507" spans="2:16" ht="63" x14ac:dyDescent="0.25">
      <c r="B507" s="2">
        <v>341</v>
      </c>
      <c r="C507" s="2" t="str">
        <f>"1-15/NOS-131-B/13"</f>
        <v>1-15/NOS-131-B/13</v>
      </c>
      <c r="D507" s="2" t="s">
        <v>16</v>
      </c>
      <c r="E507" s="2" t="s">
        <v>690</v>
      </c>
      <c r="F507" s="2" t="s">
        <v>861</v>
      </c>
      <c r="G507" s="2" t="str">
        <f>"1-15/NOS-131-B/13"</f>
        <v>1-15/NOS-131-B/13</v>
      </c>
      <c r="H507" s="2" t="str">
        <f t="shared" si="4"/>
        <v>Ugovor na temelju okvirnog sporazuma</v>
      </c>
      <c r="I507" s="2" t="s">
        <v>19</v>
      </c>
      <c r="J507" s="3" t="str">
        <f>"114.080,00"</f>
        <v>114.080,00</v>
      </c>
      <c r="K507" s="2" t="s">
        <v>858</v>
      </c>
      <c r="L507" s="2" t="s">
        <v>696</v>
      </c>
      <c r="M507" s="2" t="s">
        <v>862</v>
      </c>
      <c r="N507" s="2" t="str">
        <f>"19.06.2015"</f>
        <v>19.06.2015</v>
      </c>
      <c r="O507" s="3" t="str">
        <f>"114.080,00"</f>
        <v>114.080,00</v>
      </c>
      <c r="P507" s="4"/>
    </row>
    <row r="508" spans="2:16" ht="63" x14ac:dyDescent="0.25">
      <c r="B508" s="2">
        <v>342</v>
      </c>
      <c r="C508" s="2" t="str">
        <f>"2-15/NOS-99/13"</f>
        <v>2-15/NOS-99/13</v>
      </c>
      <c r="D508" s="2" t="s">
        <v>16</v>
      </c>
      <c r="E508" s="2" t="s">
        <v>690</v>
      </c>
      <c r="F508" s="2" t="s">
        <v>863</v>
      </c>
      <c r="G508" s="2" t="str">
        <f>"2-15/NOS-99/13"</f>
        <v>2-15/NOS-99/13</v>
      </c>
      <c r="H508" s="2" t="str">
        <f t="shared" si="4"/>
        <v>Ugovor na temelju okvirnog sporazuma</v>
      </c>
      <c r="I508" s="2" t="s">
        <v>19</v>
      </c>
      <c r="J508" s="3" t="str">
        <f>"61.700,00"</f>
        <v>61.700,00</v>
      </c>
      <c r="K508" s="2" t="s">
        <v>864</v>
      </c>
      <c r="L508" s="2" t="s">
        <v>736</v>
      </c>
      <c r="M508" s="2" t="s">
        <v>508</v>
      </c>
      <c r="N508" s="2" t="str">
        <f>"23.09.2015"</f>
        <v>23.09.2015</v>
      </c>
      <c r="O508" s="3" t="str">
        <f>"35.696,00"</f>
        <v>35.696,00</v>
      </c>
      <c r="P508" s="4"/>
    </row>
    <row r="509" spans="2:16" ht="63" x14ac:dyDescent="0.25">
      <c r="B509" s="2">
        <v>343</v>
      </c>
      <c r="C509" s="2" t="str">
        <f>"1-15/NOS-131-A/13"</f>
        <v>1-15/NOS-131-A/13</v>
      </c>
      <c r="D509" s="2" t="s">
        <v>16</v>
      </c>
      <c r="E509" s="2" t="s">
        <v>690</v>
      </c>
      <c r="F509" s="2" t="s">
        <v>865</v>
      </c>
      <c r="G509" s="2" t="str">
        <f>"1-15/NOS-131-A/13"</f>
        <v>1-15/NOS-131-A/13</v>
      </c>
      <c r="H509" s="2" t="str">
        <f t="shared" si="4"/>
        <v>Ugovor na temelju okvirnog sporazuma</v>
      </c>
      <c r="I509" s="2" t="s">
        <v>19</v>
      </c>
      <c r="J509" s="3" t="str">
        <f>"347.750,00"</f>
        <v>347.750,00</v>
      </c>
      <c r="K509" s="2" t="s">
        <v>864</v>
      </c>
      <c r="L509" s="2" t="s">
        <v>696</v>
      </c>
      <c r="M509" s="2" t="s">
        <v>392</v>
      </c>
      <c r="N509" s="2" t="str">
        <f>"01.07.2015"</f>
        <v>01.07.2015</v>
      </c>
      <c r="O509" s="3" t="str">
        <f>"347.750,00"</f>
        <v>347.750,00</v>
      </c>
      <c r="P509" s="4"/>
    </row>
    <row r="510" spans="2:16" ht="63" x14ac:dyDescent="0.25">
      <c r="B510" s="2">
        <v>344</v>
      </c>
      <c r="C510" s="2" t="str">
        <f>"3-15/NOS-117/13"</f>
        <v>3-15/NOS-117/13</v>
      </c>
      <c r="D510" s="2" t="s">
        <v>16</v>
      </c>
      <c r="E510" s="2" t="s">
        <v>690</v>
      </c>
      <c r="F510" s="2" t="s">
        <v>866</v>
      </c>
      <c r="G510" s="2" t="str">
        <f>"3-15/NOS-117/13"</f>
        <v>3-15/NOS-117/13</v>
      </c>
      <c r="H510" s="2" t="str">
        <f t="shared" si="4"/>
        <v>Ugovor na temelju okvirnog sporazuma</v>
      </c>
      <c r="I510" s="2" t="s">
        <v>19</v>
      </c>
      <c r="J510" s="3" t="str">
        <f>"24.719,20"</f>
        <v>24.719,20</v>
      </c>
      <c r="K510" s="2" t="s">
        <v>864</v>
      </c>
      <c r="L510" s="2" t="s">
        <v>448</v>
      </c>
      <c r="M510" s="2" t="s">
        <v>508</v>
      </c>
      <c r="N510" s="2" t="str">
        <f>"16.10.2015"</f>
        <v>16.10.2015</v>
      </c>
      <c r="O510" s="3" t="str">
        <f>"11.466,00"</f>
        <v>11.466,00</v>
      </c>
      <c r="P510" s="4"/>
    </row>
    <row r="511" spans="2:16" ht="63" x14ac:dyDescent="0.25">
      <c r="B511" s="2">
        <v>345</v>
      </c>
      <c r="C511" s="2" t="str">
        <f>"8-15/NOS-89/14"</f>
        <v>8-15/NOS-89/14</v>
      </c>
      <c r="D511" s="2" t="s">
        <v>16</v>
      </c>
      <c r="E511" s="2" t="s">
        <v>690</v>
      </c>
      <c r="F511" s="2" t="s">
        <v>867</v>
      </c>
      <c r="G511" s="2" t="str">
        <f>"8-15/NOS-89/14"</f>
        <v>8-15/NOS-89/14</v>
      </c>
      <c r="H511" s="2" t="str">
        <f t="shared" si="4"/>
        <v>Ugovor na temelju okvirnog sporazuma</v>
      </c>
      <c r="I511" s="2" t="s">
        <v>19</v>
      </c>
      <c r="J511" s="3" t="str">
        <f>"603.039,21"</f>
        <v>603.039,21</v>
      </c>
      <c r="K511" s="2" t="s">
        <v>864</v>
      </c>
      <c r="L511" s="2" t="s">
        <v>736</v>
      </c>
      <c r="M511" s="2" t="s">
        <v>868</v>
      </c>
      <c r="N511" s="2" t="str">
        <f>"20.11.2015"</f>
        <v>20.11.2015</v>
      </c>
      <c r="O511" s="3" t="str">
        <f>"295.812,20"</f>
        <v>295.812,20</v>
      </c>
      <c r="P511" s="2"/>
    </row>
    <row r="512" spans="2:16" ht="15.75" x14ac:dyDescent="0.25">
      <c r="B512" s="36">
        <v>346</v>
      </c>
      <c r="C512" s="36" t="str">
        <f>"21-15/NOS-53-ZGH/14"</f>
        <v>21-15/NOS-53-ZGH/14</v>
      </c>
      <c r="D512" s="36" t="s">
        <v>16</v>
      </c>
      <c r="E512" s="36" t="s">
        <v>690</v>
      </c>
      <c r="F512" s="36" t="s">
        <v>869</v>
      </c>
      <c r="G512" s="36" t="str">
        <f>"21-15/NOS-53-ZGH/14"</f>
        <v>21-15/NOS-53-ZGH/14</v>
      </c>
      <c r="H512" s="36" t="str">
        <f t="shared" si="4"/>
        <v>Ugovor na temelju okvirnog sporazuma</v>
      </c>
      <c r="I512" s="36" t="s">
        <v>19</v>
      </c>
      <c r="J512" s="38" t="str">
        <f>"713.145,05"</f>
        <v>713.145,05</v>
      </c>
      <c r="K512" s="36" t="s">
        <v>870</v>
      </c>
      <c r="L512" s="36" t="s">
        <v>526</v>
      </c>
      <c r="M512" s="36" t="s">
        <v>711</v>
      </c>
      <c r="N512" s="36" t="str">
        <f>"04.11.2015"</f>
        <v>04.11.2015</v>
      </c>
      <c r="O512" s="38" t="str">
        <f>"454.295,83"</f>
        <v>454.295,83</v>
      </c>
      <c r="P512" s="6"/>
    </row>
    <row r="513" spans="2:16" ht="15.75" x14ac:dyDescent="0.25">
      <c r="B513" s="48"/>
      <c r="C513" s="48"/>
      <c r="D513" s="48"/>
      <c r="E513" s="48"/>
      <c r="F513" s="48"/>
      <c r="G513" s="48"/>
      <c r="H513" s="48"/>
      <c r="I513" s="48"/>
      <c r="J513" s="49"/>
      <c r="K513" s="48"/>
      <c r="L513" s="48"/>
      <c r="M513" s="48"/>
      <c r="N513" s="48"/>
      <c r="O513" s="49"/>
      <c r="P513" s="7"/>
    </row>
    <row r="514" spans="2:16" ht="15.75" x14ac:dyDescent="0.25">
      <c r="B514" s="48"/>
      <c r="C514" s="48"/>
      <c r="D514" s="48"/>
      <c r="E514" s="48"/>
      <c r="F514" s="48"/>
      <c r="G514" s="48"/>
      <c r="H514" s="48"/>
      <c r="I514" s="48"/>
      <c r="J514" s="49"/>
      <c r="K514" s="48"/>
      <c r="L514" s="48"/>
      <c r="M514" s="48"/>
      <c r="N514" s="48"/>
      <c r="O514" s="49"/>
      <c r="P514" s="7"/>
    </row>
    <row r="515" spans="2:16" ht="15.75" x14ac:dyDescent="0.25">
      <c r="B515" s="48"/>
      <c r="C515" s="48"/>
      <c r="D515" s="48"/>
      <c r="E515" s="48"/>
      <c r="F515" s="48"/>
      <c r="G515" s="48"/>
      <c r="H515" s="48"/>
      <c r="I515" s="48"/>
      <c r="J515" s="49"/>
      <c r="K515" s="48"/>
      <c r="L515" s="48"/>
      <c r="M515" s="48"/>
      <c r="N515" s="48"/>
      <c r="O515" s="49"/>
      <c r="P515" s="7"/>
    </row>
    <row r="516" spans="2:16" ht="15.75" x14ac:dyDescent="0.25">
      <c r="B516" s="48"/>
      <c r="C516" s="48"/>
      <c r="D516" s="48"/>
      <c r="E516" s="48"/>
      <c r="F516" s="48"/>
      <c r="G516" s="48"/>
      <c r="H516" s="48"/>
      <c r="I516" s="48"/>
      <c r="J516" s="49"/>
      <c r="K516" s="48"/>
      <c r="L516" s="48"/>
      <c r="M516" s="48"/>
      <c r="N516" s="48"/>
      <c r="O516" s="49"/>
      <c r="P516" s="7"/>
    </row>
    <row r="517" spans="2:16" ht="15.75" x14ac:dyDescent="0.25">
      <c r="B517" s="48"/>
      <c r="C517" s="48"/>
      <c r="D517" s="48"/>
      <c r="E517" s="48"/>
      <c r="F517" s="48"/>
      <c r="G517" s="48"/>
      <c r="H517" s="48"/>
      <c r="I517" s="48"/>
      <c r="J517" s="49"/>
      <c r="K517" s="48"/>
      <c r="L517" s="48"/>
      <c r="M517" s="48"/>
      <c r="N517" s="48"/>
      <c r="O517" s="49"/>
      <c r="P517" s="7"/>
    </row>
    <row r="518" spans="2:16" ht="9" customHeight="1" x14ac:dyDescent="0.25">
      <c r="B518" s="48"/>
      <c r="C518" s="48"/>
      <c r="D518" s="48"/>
      <c r="E518" s="48"/>
      <c r="F518" s="48"/>
      <c r="G518" s="48"/>
      <c r="H518" s="48"/>
      <c r="I518" s="48"/>
      <c r="J518" s="49"/>
      <c r="K518" s="48"/>
      <c r="L518" s="48"/>
      <c r="M518" s="48"/>
      <c r="N518" s="48"/>
      <c r="O518" s="49"/>
      <c r="P518" s="7"/>
    </row>
    <row r="519" spans="2:16" ht="15.75" hidden="1" x14ac:dyDescent="0.25">
      <c r="B519" s="48"/>
      <c r="C519" s="48"/>
      <c r="D519" s="48"/>
      <c r="E519" s="48"/>
      <c r="F519" s="48"/>
      <c r="G519" s="48"/>
      <c r="H519" s="48"/>
      <c r="I519" s="48"/>
      <c r="J519" s="49"/>
      <c r="K519" s="48"/>
      <c r="L519" s="48"/>
      <c r="M519" s="48"/>
      <c r="N519" s="48"/>
      <c r="O519" s="49"/>
      <c r="P519" s="7"/>
    </row>
    <row r="520" spans="2:16" ht="15.75" hidden="1" x14ac:dyDescent="0.25">
      <c r="B520" s="37"/>
      <c r="C520" s="37"/>
      <c r="D520" s="37"/>
      <c r="E520" s="37"/>
      <c r="F520" s="37"/>
      <c r="G520" s="37"/>
      <c r="H520" s="37"/>
      <c r="I520" s="37"/>
      <c r="J520" s="39"/>
      <c r="K520" s="37"/>
      <c r="L520" s="37"/>
      <c r="M520" s="37"/>
      <c r="N520" s="37"/>
      <c r="O520" s="39"/>
      <c r="P520" s="8"/>
    </row>
    <row r="521" spans="2:16" ht="15.75" x14ac:dyDescent="0.25">
      <c r="B521" s="36">
        <v>347</v>
      </c>
      <c r="C521" s="36" t="str">
        <f>"3-15/NOS-97/14"</f>
        <v>3-15/NOS-97/14</v>
      </c>
      <c r="D521" s="36" t="s">
        <v>16</v>
      </c>
      <c r="E521" s="36" t="s">
        <v>690</v>
      </c>
      <c r="F521" s="36" t="s">
        <v>871</v>
      </c>
      <c r="G521" s="36" t="str">
        <f>"3-15/NOS-97/14"</f>
        <v>3-15/NOS-97/14</v>
      </c>
      <c r="H521" s="36" t="str">
        <f>"Ugovor na temelju okvirnog sporazuma"</f>
        <v>Ugovor na temelju okvirnog sporazuma</v>
      </c>
      <c r="I521" s="36" t="s">
        <v>19</v>
      </c>
      <c r="J521" s="38" t="str">
        <f>"531.086,74"</f>
        <v>531.086,74</v>
      </c>
      <c r="K521" s="36" t="s">
        <v>870</v>
      </c>
      <c r="L521" s="36" t="s">
        <v>526</v>
      </c>
      <c r="M521" s="36" t="s">
        <v>165</v>
      </c>
      <c r="N521" s="36" t="str">
        <f>"20.10.2015"</f>
        <v>20.10.2015</v>
      </c>
      <c r="O521" s="38" t="str">
        <f>"354.394,87"</f>
        <v>354.394,87</v>
      </c>
      <c r="P521" s="6"/>
    </row>
    <row r="522" spans="2:16" ht="15.75" x14ac:dyDescent="0.25">
      <c r="B522" s="48"/>
      <c r="C522" s="48"/>
      <c r="D522" s="48"/>
      <c r="E522" s="48"/>
      <c r="F522" s="48"/>
      <c r="G522" s="48"/>
      <c r="H522" s="48"/>
      <c r="I522" s="48"/>
      <c r="J522" s="49"/>
      <c r="K522" s="48"/>
      <c r="L522" s="48"/>
      <c r="M522" s="48"/>
      <c r="N522" s="48"/>
      <c r="O522" s="49"/>
      <c r="P522" s="7"/>
    </row>
    <row r="523" spans="2:16" ht="15.75" x14ac:dyDescent="0.25">
      <c r="B523" s="48"/>
      <c r="C523" s="48"/>
      <c r="D523" s="48"/>
      <c r="E523" s="48"/>
      <c r="F523" s="48"/>
      <c r="G523" s="48"/>
      <c r="H523" s="48"/>
      <c r="I523" s="48"/>
      <c r="J523" s="49"/>
      <c r="K523" s="48"/>
      <c r="L523" s="48"/>
      <c r="M523" s="48"/>
      <c r="N523" s="48"/>
      <c r="O523" s="49"/>
      <c r="P523" s="7"/>
    </row>
    <row r="524" spans="2:16" ht="15.75" x14ac:dyDescent="0.25">
      <c r="B524" s="48"/>
      <c r="C524" s="48"/>
      <c r="D524" s="48"/>
      <c r="E524" s="48"/>
      <c r="F524" s="48"/>
      <c r="G524" s="48"/>
      <c r="H524" s="48"/>
      <c r="I524" s="48"/>
      <c r="J524" s="49"/>
      <c r="K524" s="48"/>
      <c r="L524" s="48"/>
      <c r="M524" s="48"/>
      <c r="N524" s="48"/>
      <c r="O524" s="49"/>
      <c r="P524" s="7"/>
    </row>
    <row r="525" spans="2:16" ht="15.75" x14ac:dyDescent="0.25">
      <c r="B525" s="37"/>
      <c r="C525" s="37"/>
      <c r="D525" s="37"/>
      <c r="E525" s="37"/>
      <c r="F525" s="37"/>
      <c r="G525" s="37"/>
      <c r="H525" s="37"/>
      <c r="I525" s="37"/>
      <c r="J525" s="39"/>
      <c r="K525" s="37"/>
      <c r="L525" s="37"/>
      <c r="M525" s="37"/>
      <c r="N525" s="37"/>
      <c r="O525" s="39"/>
      <c r="P525" s="8"/>
    </row>
    <row r="526" spans="2:16" ht="63" x14ac:dyDescent="0.25">
      <c r="B526" s="2">
        <v>348</v>
      </c>
      <c r="C526" s="2" t="str">
        <f>"1-15/NOS-140/13"</f>
        <v>1-15/NOS-140/13</v>
      </c>
      <c r="D526" s="2" t="s">
        <v>16</v>
      </c>
      <c r="E526" s="2" t="s">
        <v>690</v>
      </c>
      <c r="F526" s="2" t="s">
        <v>872</v>
      </c>
      <c r="G526" s="2" t="str">
        <f>"1-15/NOS-140/13"</f>
        <v>1-15/NOS-140/13</v>
      </c>
      <c r="H526" s="2" t="str">
        <f t="shared" ref="H526:H545" si="5">"Ugovor na temelju okvirnog sporazuma"</f>
        <v>Ugovor na temelju okvirnog sporazuma</v>
      </c>
      <c r="I526" s="2" t="s">
        <v>19</v>
      </c>
      <c r="J526" s="3" t="str">
        <f>"3.808.500,00"</f>
        <v>3.808.500,00</v>
      </c>
      <c r="K526" s="2" t="s">
        <v>870</v>
      </c>
      <c r="L526" s="2" t="s">
        <v>873</v>
      </c>
      <c r="M526" s="2" t="s">
        <v>209</v>
      </c>
      <c r="N526" s="2" t="str">
        <f>"13.05.2015"</f>
        <v>13.05.2015</v>
      </c>
      <c r="O526" s="3" t="str">
        <f>"3.773.715,70"</f>
        <v>3.773.715,70</v>
      </c>
      <c r="P526" s="4"/>
    </row>
    <row r="527" spans="2:16" ht="126" x14ac:dyDescent="0.25">
      <c r="B527" s="2">
        <v>349</v>
      </c>
      <c r="C527" s="2" t="str">
        <f>"1-15/NOS-31-A/13"</f>
        <v>1-15/NOS-31-A/13</v>
      </c>
      <c r="D527" s="2" t="s">
        <v>16</v>
      </c>
      <c r="E527" s="2" t="s">
        <v>690</v>
      </c>
      <c r="F527" s="2" t="s">
        <v>874</v>
      </c>
      <c r="G527" s="2" t="str">
        <f>"1-15/NOS-31-A/13"</f>
        <v>1-15/NOS-31-A/13</v>
      </c>
      <c r="H527" s="2" t="str">
        <f t="shared" si="5"/>
        <v>Ugovor na temelju okvirnog sporazuma</v>
      </c>
      <c r="I527" s="2" t="s">
        <v>19</v>
      </c>
      <c r="J527" s="3" t="str">
        <f>"160.000,00"</f>
        <v>160.000,00</v>
      </c>
      <c r="K527" s="2" t="s">
        <v>307</v>
      </c>
      <c r="L527" s="2" t="s">
        <v>696</v>
      </c>
      <c r="M527" s="2" t="s">
        <v>340</v>
      </c>
      <c r="N527" s="2" t="str">
        <f>"13.10.2015"</f>
        <v>13.10.2015</v>
      </c>
      <c r="O527" s="3" t="str">
        <f>"159.985,92"</f>
        <v>159.985,92</v>
      </c>
      <c r="P527" s="4"/>
    </row>
    <row r="528" spans="2:16" ht="63" x14ac:dyDescent="0.25">
      <c r="B528" s="2">
        <v>350</v>
      </c>
      <c r="C528" s="2" t="str">
        <f>"1-15/NOS-168/10"</f>
        <v>1-15/NOS-168/10</v>
      </c>
      <c r="D528" s="2" t="s">
        <v>16</v>
      </c>
      <c r="E528" s="2" t="s">
        <v>690</v>
      </c>
      <c r="F528" s="2" t="s">
        <v>875</v>
      </c>
      <c r="G528" s="2" t="str">
        <f>"1-15/NOS-168/10"</f>
        <v>1-15/NOS-168/10</v>
      </c>
      <c r="H528" s="2" t="str">
        <f t="shared" si="5"/>
        <v>Ugovor na temelju okvirnog sporazuma</v>
      </c>
      <c r="I528" s="2" t="s">
        <v>19</v>
      </c>
      <c r="J528" s="3" t="str">
        <f>"83.499,20"</f>
        <v>83.499,20</v>
      </c>
      <c r="K528" s="2" t="s">
        <v>307</v>
      </c>
      <c r="L528" s="2" t="s">
        <v>408</v>
      </c>
      <c r="M528" s="2" t="s">
        <v>876</v>
      </c>
      <c r="N528" s="2" t="str">
        <f>"24.12.2015"</f>
        <v>24.12.2015</v>
      </c>
      <c r="O528" s="3" t="str">
        <f>"52.443,04"</f>
        <v>52.443,04</v>
      </c>
      <c r="P528" s="4"/>
    </row>
    <row r="529" spans="2:16" ht="63" x14ac:dyDescent="0.25">
      <c r="B529" s="2">
        <v>351</v>
      </c>
      <c r="C529" s="2" t="str">
        <f>"5-15/NOS-156/10"</f>
        <v>5-15/NOS-156/10</v>
      </c>
      <c r="D529" s="2" t="s">
        <v>85</v>
      </c>
      <c r="E529" s="2" t="s">
        <v>690</v>
      </c>
      <c r="F529" s="2" t="s">
        <v>877</v>
      </c>
      <c r="G529" s="2" t="str">
        <f>"5-15/NOS-156/10"</f>
        <v>5-15/NOS-156/10</v>
      </c>
      <c r="H529" s="2" t="str">
        <f t="shared" si="5"/>
        <v>Ugovor na temelju okvirnog sporazuma</v>
      </c>
      <c r="I529" s="2" t="s">
        <v>19</v>
      </c>
      <c r="J529" s="3" t="str">
        <f>"177.457,32"</f>
        <v>177.457,32</v>
      </c>
      <c r="K529" s="2" t="s">
        <v>878</v>
      </c>
      <c r="L529" s="2" t="s">
        <v>696</v>
      </c>
      <c r="M529" s="2" t="s">
        <v>879</v>
      </c>
      <c r="N529" s="2" t="str">
        <f>"09.09.2015"</f>
        <v>09.09.2015</v>
      </c>
      <c r="O529" s="3" t="str">
        <f>"37.326,70"</f>
        <v>37.326,70</v>
      </c>
      <c r="P529" s="2"/>
    </row>
    <row r="530" spans="2:16" ht="63" x14ac:dyDescent="0.25">
      <c r="B530" s="2">
        <v>352</v>
      </c>
      <c r="C530" s="2" t="str">
        <f>"1-15/NOS-167/13"</f>
        <v>1-15/NOS-167/13</v>
      </c>
      <c r="D530" s="2" t="s">
        <v>16</v>
      </c>
      <c r="E530" s="2" t="s">
        <v>690</v>
      </c>
      <c r="F530" s="2" t="s">
        <v>881</v>
      </c>
      <c r="G530" s="2" t="str">
        <f>"1-15/NOS-167/13"</f>
        <v>1-15/NOS-167/13</v>
      </c>
      <c r="H530" s="2" t="str">
        <f t="shared" si="5"/>
        <v>Ugovor na temelju okvirnog sporazuma</v>
      </c>
      <c r="I530" s="2" t="s">
        <v>19</v>
      </c>
      <c r="J530" s="3" t="str">
        <f>"95.959,00"</f>
        <v>95.959,00</v>
      </c>
      <c r="K530" s="2" t="s">
        <v>878</v>
      </c>
      <c r="L530" s="2" t="s">
        <v>736</v>
      </c>
      <c r="M530" s="2" t="s">
        <v>568</v>
      </c>
      <c r="N530" s="2" t="str">
        <f>"13.10.2015"</f>
        <v>13.10.2015</v>
      </c>
      <c r="O530" s="3" t="str">
        <f>"41.374,20"</f>
        <v>41.374,20</v>
      </c>
      <c r="P530" s="4"/>
    </row>
    <row r="531" spans="2:16" ht="94.5" x14ac:dyDescent="0.25">
      <c r="B531" s="2">
        <v>353</v>
      </c>
      <c r="C531" s="2" t="str">
        <f>"1-15/NOS-127/13"</f>
        <v>1-15/NOS-127/13</v>
      </c>
      <c r="D531" s="2" t="s">
        <v>16</v>
      </c>
      <c r="E531" s="2" t="s">
        <v>690</v>
      </c>
      <c r="F531" s="2" t="s">
        <v>882</v>
      </c>
      <c r="G531" s="2" t="str">
        <f>"1-15/NOS-127/13"</f>
        <v>1-15/NOS-127/13</v>
      </c>
      <c r="H531" s="2" t="str">
        <f t="shared" si="5"/>
        <v>Ugovor na temelju okvirnog sporazuma</v>
      </c>
      <c r="I531" s="2" t="s">
        <v>19</v>
      </c>
      <c r="J531" s="3" t="str">
        <f>"72.700,00"</f>
        <v>72.700,00</v>
      </c>
      <c r="K531" s="2" t="s">
        <v>883</v>
      </c>
      <c r="L531" s="2" t="s">
        <v>696</v>
      </c>
      <c r="M531" s="2" t="s">
        <v>267</v>
      </c>
      <c r="N531" s="2" t="str">
        <f>"03.06.2015"</f>
        <v>03.06.2015</v>
      </c>
      <c r="O531" s="3" t="str">
        <f>"72.700,00"</f>
        <v>72.700,00</v>
      </c>
      <c r="P531" s="4"/>
    </row>
    <row r="532" spans="2:16" ht="63" x14ac:dyDescent="0.25">
      <c r="B532" s="2">
        <v>354</v>
      </c>
      <c r="C532" s="2" t="str">
        <f>"2-15/NOS-80/11"</f>
        <v>2-15/NOS-80/11</v>
      </c>
      <c r="D532" s="2" t="s">
        <v>16</v>
      </c>
      <c r="E532" s="2" t="s">
        <v>690</v>
      </c>
      <c r="F532" s="2" t="s">
        <v>884</v>
      </c>
      <c r="G532" s="2" t="str">
        <f>"2-15/NOS-80/11"</f>
        <v>2-15/NOS-80/11</v>
      </c>
      <c r="H532" s="2" t="str">
        <f t="shared" si="5"/>
        <v>Ugovor na temelju okvirnog sporazuma</v>
      </c>
      <c r="I532" s="2" t="s">
        <v>19</v>
      </c>
      <c r="J532" s="3" t="str">
        <f>"307.692,00"</f>
        <v>307.692,00</v>
      </c>
      <c r="K532" s="2" t="s">
        <v>885</v>
      </c>
      <c r="L532" s="2" t="s">
        <v>408</v>
      </c>
      <c r="M532" s="2" t="s">
        <v>886</v>
      </c>
      <c r="N532" s="2" t="str">
        <f>"14.12.2015"</f>
        <v>14.12.2015</v>
      </c>
      <c r="O532" s="3" t="str">
        <f>"138.121,00"</f>
        <v>138.121,00</v>
      </c>
      <c r="P532" s="4"/>
    </row>
    <row r="533" spans="2:16" ht="63" x14ac:dyDescent="0.25">
      <c r="B533" s="2">
        <v>355</v>
      </c>
      <c r="C533" s="2" t="str">
        <f>"3-15/NOS-28/13"</f>
        <v>3-15/NOS-28/13</v>
      </c>
      <c r="D533" s="2" t="s">
        <v>16</v>
      </c>
      <c r="E533" s="2" t="s">
        <v>690</v>
      </c>
      <c r="F533" s="2" t="s">
        <v>887</v>
      </c>
      <c r="G533" s="2" t="str">
        <f>"3-15/NOS-28/13"</f>
        <v>3-15/NOS-28/13</v>
      </c>
      <c r="H533" s="2" t="str">
        <f t="shared" si="5"/>
        <v>Ugovor na temelju okvirnog sporazuma</v>
      </c>
      <c r="I533" s="2" t="s">
        <v>19</v>
      </c>
      <c r="J533" s="3" t="str">
        <f>"38.104,00"</f>
        <v>38.104,00</v>
      </c>
      <c r="K533" s="2" t="s">
        <v>885</v>
      </c>
      <c r="L533" s="2" t="s">
        <v>736</v>
      </c>
      <c r="M533" s="2" t="s">
        <v>62</v>
      </c>
      <c r="N533" s="2" t="str">
        <f>"01.07.2015"</f>
        <v>01.07.2015</v>
      </c>
      <c r="O533" s="3" t="str">
        <f>"18.382,00"</f>
        <v>18.382,00</v>
      </c>
      <c r="P533" s="4"/>
    </row>
    <row r="534" spans="2:16" ht="63" x14ac:dyDescent="0.25">
      <c r="B534" s="2">
        <v>356</v>
      </c>
      <c r="C534" s="2" t="str">
        <f>"1-15/NOS-208/13"</f>
        <v>1-15/NOS-208/13</v>
      </c>
      <c r="D534" s="2" t="s">
        <v>16</v>
      </c>
      <c r="E534" s="2" t="s">
        <v>690</v>
      </c>
      <c r="F534" s="2" t="s">
        <v>888</v>
      </c>
      <c r="G534" s="2" t="str">
        <f>"1-15/NOS-208/13"</f>
        <v>1-15/NOS-208/13</v>
      </c>
      <c r="H534" s="2" t="str">
        <f t="shared" si="5"/>
        <v>Ugovor na temelju okvirnog sporazuma</v>
      </c>
      <c r="I534" s="2" t="s">
        <v>19</v>
      </c>
      <c r="J534" s="3" t="str">
        <f>"399.062,40"</f>
        <v>399.062,40</v>
      </c>
      <c r="K534" s="2" t="s">
        <v>885</v>
      </c>
      <c r="L534" s="2" t="s">
        <v>408</v>
      </c>
      <c r="M534" s="2" t="s">
        <v>889</v>
      </c>
      <c r="N534" s="2" t="str">
        <f>"17.09.2015"</f>
        <v>17.09.2015</v>
      </c>
      <c r="O534" s="3" t="str">
        <f>"159.412,80"</f>
        <v>159.412,80</v>
      </c>
      <c r="P534" s="4"/>
    </row>
    <row r="535" spans="2:16" ht="63" x14ac:dyDescent="0.25">
      <c r="B535" s="2">
        <v>357</v>
      </c>
      <c r="C535" s="2" t="str">
        <f>"6-15/NOS-105/11"</f>
        <v>6-15/NOS-105/11</v>
      </c>
      <c r="D535" s="2" t="s">
        <v>16</v>
      </c>
      <c r="E535" s="2" t="s">
        <v>690</v>
      </c>
      <c r="F535" s="2" t="s">
        <v>890</v>
      </c>
      <c r="G535" s="2" t="str">
        <f>"6-15/NOS-105/11"</f>
        <v>6-15/NOS-105/11</v>
      </c>
      <c r="H535" s="2" t="str">
        <f t="shared" si="5"/>
        <v>Ugovor na temelju okvirnog sporazuma</v>
      </c>
      <c r="I535" s="2" t="s">
        <v>19</v>
      </c>
      <c r="J535" s="3" t="str">
        <f>"1.078.400,20"</f>
        <v>1.078.400,20</v>
      </c>
      <c r="K535" s="2" t="s">
        <v>885</v>
      </c>
      <c r="L535" s="2" t="s">
        <v>696</v>
      </c>
      <c r="M535" s="2" t="s">
        <v>891</v>
      </c>
      <c r="N535" s="2" t="str">
        <f>"23.12.2015"</f>
        <v>23.12.2015</v>
      </c>
      <c r="O535" s="3" t="str">
        <f>"1.038.796,70"</f>
        <v>1.038.796,70</v>
      </c>
      <c r="P535" s="2"/>
    </row>
    <row r="536" spans="2:16" ht="63" x14ac:dyDescent="0.25">
      <c r="B536" s="2">
        <v>358</v>
      </c>
      <c r="C536" s="2" t="str">
        <f>"2-15/NOS-44/13"</f>
        <v>2-15/NOS-44/13</v>
      </c>
      <c r="D536" s="2" t="s">
        <v>16</v>
      </c>
      <c r="E536" s="2" t="s">
        <v>690</v>
      </c>
      <c r="F536" s="2" t="s">
        <v>892</v>
      </c>
      <c r="G536" s="2" t="str">
        <f>"2-15/NOS-44/13"</f>
        <v>2-15/NOS-44/13</v>
      </c>
      <c r="H536" s="2" t="str">
        <f t="shared" si="5"/>
        <v>Ugovor na temelju okvirnog sporazuma</v>
      </c>
      <c r="I536" s="2" t="s">
        <v>19</v>
      </c>
      <c r="J536" s="3" t="str">
        <f>"93.165,25"</f>
        <v>93.165,25</v>
      </c>
      <c r="K536" s="2" t="s">
        <v>885</v>
      </c>
      <c r="L536" s="2" t="s">
        <v>696</v>
      </c>
      <c r="M536" s="2" t="s">
        <v>508</v>
      </c>
      <c r="N536" s="2" t="str">
        <f>"23.07.2015"</f>
        <v>23.07.2015</v>
      </c>
      <c r="O536" s="3" t="str">
        <f>"52.700,90"</f>
        <v>52.700,90</v>
      </c>
      <c r="P536" s="4"/>
    </row>
    <row r="537" spans="2:16" ht="63" x14ac:dyDescent="0.25">
      <c r="B537" s="2">
        <v>359</v>
      </c>
      <c r="C537" s="2" t="str">
        <f>"2-15/NOS-40/14"</f>
        <v>2-15/NOS-40/14</v>
      </c>
      <c r="D537" s="2" t="s">
        <v>362</v>
      </c>
      <c r="E537" s="2" t="s">
        <v>690</v>
      </c>
      <c r="F537" s="2" t="s">
        <v>893</v>
      </c>
      <c r="G537" s="2" t="str">
        <f>"2-15/NOS-40/14"</f>
        <v>2-15/NOS-40/14</v>
      </c>
      <c r="H537" s="2" t="str">
        <f t="shared" si="5"/>
        <v>Ugovor na temelju okvirnog sporazuma</v>
      </c>
      <c r="I537" s="2" t="s">
        <v>19</v>
      </c>
      <c r="J537" s="3" t="str">
        <f>"5.389.514,10"</f>
        <v>5.389.514,10</v>
      </c>
      <c r="K537" s="2" t="s">
        <v>803</v>
      </c>
      <c r="L537" s="2" t="s">
        <v>408</v>
      </c>
      <c r="M537" s="2" t="s">
        <v>805</v>
      </c>
      <c r="N537" s="2" t="s">
        <v>23</v>
      </c>
      <c r="O537" s="3" t="str">
        <f>"0,00"</f>
        <v>0,00</v>
      </c>
      <c r="P537" s="4"/>
    </row>
    <row r="538" spans="2:16" ht="126" x14ac:dyDescent="0.25">
      <c r="B538" s="2">
        <v>360</v>
      </c>
      <c r="C538" s="2" t="str">
        <f>"1-15/NOS-116-A/11"</f>
        <v>1-15/NOS-116-A/11</v>
      </c>
      <c r="D538" s="2" t="s">
        <v>16</v>
      </c>
      <c r="E538" s="2" t="s">
        <v>690</v>
      </c>
      <c r="F538" s="2" t="s">
        <v>894</v>
      </c>
      <c r="G538" s="2" t="str">
        <f>"1-15/NOS-116-A/11"</f>
        <v>1-15/NOS-116-A/11</v>
      </c>
      <c r="H538" s="2" t="str">
        <f t="shared" si="5"/>
        <v>Ugovor na temelju okvirnog sporazuma</v>
      </c>
      <c r="I538" s="2" t="s">
        <v>19</v>
      </c>
      <c r="J538" s="3" t="str">
        <f>"9.874.100,00"</f>
        <v>9.874.100,00</v>
      </c>
      <c r="K538" s="2" t="s">
        <v>296</v>
      </c>
      <c r="L538" s="2" t="s">
        <v>736</v>
      </c>
      <c r="M538" s="2" t="s">
        <v>832</v>
      </c>
      <c r="N538" s="2" t="str">
        <f>"13.01.2016"</f>
        <v>13.01.2016</v>
      </c>
      <c r="O538" s="3" t="str">
        <f>"8.288.814,34"</f>
        <v>8.288.814,34</v>
      </c>
      <c r="P538" s="4"/>
    </row>
    <row r="539" spans="2:16" ht="94.5" x14ac:dyDescent="0.25">
      <c r="B539" s="2">
        <v>361</v>
      </c>
      <c r="C539" s="2" t="str">
        <f>"3-15/NOS-40/14"</f>
        <v>3-15/NOS-40/14</v>
      </c>
      <c r="D539" s="2" t="s">
        <v>85</v>
      </c>
      <c r="E539" s="2" t="s">
        <v>690</v>
      </c>
      <c r="F539" s="2" t="s">
        <v>895</v>
      </c>
      <c r="G539" s="2" t="str">
        <f>"3-15/NOS-40/14"</f>
        <v>3-15/NOS-40/14</v>
      </c>
      <c r="H539" s="2" t="str">
        <f t="shared" si="5"/>
        <v>Ugovor na temelju okvirnog sporazuma</v>
      </c>
      <c r="I539" s="2" t="s">
        <v>19</v>
      </c>
      <c r="J539" s="3" t="str">
        <f>"15.469.902,20"</f>
        <v>15.469.902,20</v>
      </c>
      <c r="K539" s="2" t="s">
        <v>803</v>
      </c>
      <c r="L539" s="2" t="s">
        <v>408</v>
      </c>
      <c r="M539" s="2" t="s">
        <v>805</v>
      </c>
      <c r="N539" s="2" t="s">
        <v>23</v>
      </c>
      <c r="O539" s="3" t="str">
        <f>"0,00"</f>
        <v>0,00</v>
      </c>
      <c r="P539" s="4"/>
    </row>
    <row r="540" spans="2:16" ht="63" x14ac:dyDescent="0.25">
      <c r="B540" s="2">
        <v>362</v>
      </c>
      <c r="C540" s="2" t="str">
        <f>"1-15/NOS-70/14"</f>
        <v>1-15/NOS-70/14</v>
      </c>
      <c r="D540" s="2" t="s">
        <v>16</v>
      </c>
      <c r="E540" s="2" t="s">
        <v>690</v>
      </c>
      <c r="F540" s="2" t="s">
        <v>896</v>
      </c>
      <c r="G540" s="2" t="str">
        <f>"1-15/NOS-70/14"</f>
        <v>1-15/NOS-70/14</v>
      </c>
      <c r="H540" s="2" t="str">
        <f t="shared" si="5"/>
        <v>Ugovor na temelju okvirnog sporazuma</v>
      </c>
      <c r="I540" s="2" t="s">
        <v>19</v>
      </c>
      <c r="J540" s="3" t="str">
        <f>"148.438,50"</f>
        <v>148.438,50</v>
      </c>
      <c r="K540" s="2" t="s">
        <v>296</v>
      </c>
      <c r="L540" s="2" t="s">
        <v>736</v>
      </c>
      <c r="M540" s="2" t="s">
        <v>897</v>
      </c>
      <c r="N540" s="2" t="str">
        <f>"23.06.2015"</f>
        <v>23.06.2015</v>
      </c>
      <c r="O540" s="3" t="str">
        <f>"139.788,50"</f>
        <v>139.788,50</v>
      </c>
      <c r="P540" s="4"/>
    </row>
    <row r="541" spans="2:16" ht="63" x14ac:dyDescent="0.25">
      <c r="B541" s="2">
        <v>363</v>
      </c>
      <c r="C541" s="2" t="str">
        <f>"1-15/NOS-30/13"</f>
        <v>1-15/NOS-30/13</v>
      </c>
      <c r="D541" s="2" t="s">
        <v>16</v>
      </c>
      <c r="E541" s="2" t="s">
        <v>690</v>
      </c>
      <c r="F541" s="2" t="s">
        <v>898</v>
      </c>
      <c r="G541" s="2" t="str">
        <f>"1-15/NOS-30/13"</f>
        <v>1-15/NOS-30/13</v>
      </c>
      <c r="H541" s="2" t="str">
        <f t="shared" si="5"/>
        <v>Ugovor na temelju okvirnog sporazuma</v>
      </c>
      <c r="I541" s="2" t="s">
        <v>19</v>
      </c>
      <c r="J541" s="3" t="str">
        <f>"72.000,00"</f>
        <v>72.000,00</v>
      </c>
      <c r="K541" s="2" t="s">
        <v>296</v>
      </c>
      <c r="L541" s="2" t="s">
        <v>408</v>
      </c>
      <c r="M541" s="2" t="s">
        <v>746</v>
      </c>
      <c r="N541" s="2" t="str">
        <f>"08.01.2016"</f>
        <v>08.01.2016</v>
      </c>
      <c r="O541" s="3" t="str">
        <f>"72.000,00"</f>
        <v>72.000,00</v>
      </c>
      <c r="P541" s="4"/>
    </row>
    <row r="542" spans="2:16" s="15" customFormat="1" ht="63" x14ac:dyDescent="0.25">
      <c r="B542" s="12">
        <v>364</v>
      </c>
      <c r="C542" s="12" t="str">
        <f>"7-15/NOS-156/10"</f>
        <v>7-15/NOS-156/10</v>
      </c>
      <c r="D542" s="12" t="s">
        <v>356</v>
      </c>
      <c r="E542" s="12" t="s">
        <v>690</v>
      </c>
      <c r="F542" s="12" t="s">
        <v>899</v>
      </c>
      <c r="G542" s="12" t="str">
        <f>"7-15/NOS-156/10"</f>
        <v>7-15/NOS-156/10</v>
      </c>
      <c r="H542" s="12" t="str">
        <f t="shared" si="5"/>
        <v>Ugovor na temelju okvirnog sporazuma</v>
      </c>
      <c r="I542" s="12" t="s">
        <v>19</v>
      </c>
      <c r="J542" s="13" t="str">
        <f>"26.604,26"</f>
        <v>26.604,26</v>
      </c>
      <c r="K542" s="12" t="s">
        <v>900</v>
      </c>
      <c r="L542" s="12" t="s">
        <v>696</v>
      </c>
      <c r="M542" s="12" t="s">
        <v>879</v>
      </c>
      <c r="N542" s="12" t="s">
        <v>23</v>
      </c>
      <c r="O542" s="22">
        <v>13474.06</v>
      </c>
      <c r="P542" s="14"/>
    </row>
    <row r="543" spans="2:16" ht="63" x14ac:dyDescent="0.25">
      <c r="B543" s="2">
        <v>365</v>
      </c>
      <c r="C543" s="2" t="str">
        <f>"4-15/NOS-56/14"</f>
        <v>4-15/NOS-56/14</v>
      </c>
      <c r="D543" s="2" t="s">
        <v>16</v>
      </c>
      <c r="E543" s="2" t="s">
        <v>690</v>
      </c>
      <c r="F543" s="2" t="s">
        <v>901</v>
      </c>
      <c r="G543" s="2" t="str">
        <f>"4-15/NOS-56/14"</f>
        <v>4-15/NOS-56/14</v>
      </c>
      <c r="H543" s="2" t="str">
        <f t="shared" si="5"/>
        <v>Ugovor na temelju okvirnog sporazuma</v>
      </c>
      <c r="I543" s="2" t="s">
        <v>19</v>
      </c>
      <c r="J543" s="3" t="str">
        <f>"340.834,00"</f>
        <v>340.834,00</v>
      </c>
      <c r="K543" s="2" t="s">
        <v>296</v>
      </c>
      <c r="L543" s="2" t="s">
        <v>696</v>
      </c>
      <c r="M543" s="2" t="s">
        <v>715</v>
      </c>
      <c r="N543" s="2" t="str">
        <f>"20.08.2015"</f>
        <v>20.08.2015</v>
      </c>
      <c r="O543" s="3" t="str">
        <f>"340.659,00"</f>
        <v>340.659,00</v>
      </c>
      <c r="P543" s="4"/>
    </row>
    <row r="544" spans="2:16" ht="63" x14ac:dyDescent="0.25">
      <c r="B544" s="2">
        <v>366</v>
      </c>
      <c r="C544" s="2" t="str">
        <f>"1-15/NOS-127/12"</f>
        <v>1-15/NOS-127/12</v>
      </c>
      <c r="D544" s="2" t="s">
        <v>16</v>
      </c>
      <c r="E544" s="2" t="s">
        <v>690</v>
      </c>
      <c r="F544" s="2" t="s">
        <v>902</v>
      </c>
      <c r="G544" s="2" t="str">
        <f>"1-15/NOS-127/12"</f>
        <v>1-15/NOS-127/12</v>
      </c>
      <c r="H544" s="2" t="str">
        <f t="shared" si="5"/>
        <v>Ugovor na temelju okvirnog sporazuma</v>
      </c>
      <c r="I544" s="2" t="s">
        <v>19</v>
      </c>
      <c r="J544" s="3" t="str">
        <f>"148.962,70"</f>
        <v>148.962,70</v>
      </c>
      <c r="K544" s="2" t="s">
        <v>900</v>
      </c>
      <c r="L544" s="2" t="s">
        <v>736</v>
      </c>
      <c r="M544" s="2" t="s">
        <v>84</v>
      </c>
      <c r="N544" s="2" t="str">
        <f>"09.12.2015"</f>
        <v>09.12.2015</v>
      </c>
      <c r="O544" s="3" t="str">
        <f>"99.839,80"</f>
        <v>99.839,80</v>
      </c>
      <c r="P544" s="4"/>
    </row>
    <row r="545" spans="2:16" ht="15.75" x14ac:dyDescent="0.25">
      <c r="B545" s="36">
        <v>367</v>
      </c>
      <c r="C545" s="36" t="str">
        <f>"4-15/NOS-156/10"</f>
        <v>4-15/NOS-156/10</v>
      </c>
      <c r="D545" s="36" t="s">
        <v>903</v>
      </c>
      <c r="E545" s="36" t="s">
        <v>690</v>
      </c>
      <c r="F545" s="36" t="s">
        <v>904</v>
      </c>
      <c r="G545" s="36" t="str">
        <f>"4-15/NOS-156/10"</f>
        <v>4-15/NOS-156/10</v>
      </c>
      <c r="H545" s="36" t="str">
        <f t="shared" si="5"/>
        <v>Ugovor na temelju okvirnog sporazuma</v>
      </c>
      <c r="I545" s="36" t="s">
        <v>19</v>
      </c>
      <c r="J545" s="38" t="str">
        <f>"755.369,38"</f>
        <v>755.369,38</v>
      </c>
      <c r="K545" s="36" t="s">
        <v>900</v>
      </c>
      <c r="L545" s="36" t="s">
        <v>696</v>
      </c>
      <c r="M545" s="36" t="s">
        <v>879</v>
      </c>
      <c r="N545" s="36" t="str">
        <f>"28.10.2015"</f>
        <v>28.10.2015</v>
      </c>
      <c r="O545" s="38" t="str">
        <f>"509.436,19"</f>
        <v>509.436,19</v>
      </c>
      <c r="P545" s="6"/>
    </row>
    <row r="546" spans="2:16" ht="15.75" x14ac:dyDescent="0.25">
      <c r="B546" s="37"/>
      <c r="C546" s="37"/>
      <c r="D546" s="37"/>
      <c r="E546" s="37"/>
      <c r="F546" s="37"/>
      <c r="G546" s="37"/>
      <c r="H546" s="37"/>
      <c r="I546" s="37"/>
      <c r="J546" s="39"/>
      <c r="K546" s="37"/>
      <c r="L546" s="37"/>
      <c r="M546" s="37"/>
      <c r="N546" s="37"/>
      <c r="O546" s="39"/>
      <c r="P546" s="8"/>
    </row>
    <row r="547" spans="2:16" ht="63" x14ac:dyDescent="0.25">
      <c r="B547" s="2">
        <v>368</v>
      </c>
      <c r="C547" s="2" t="str">
        <f>"2-15/NOS-140/13"</f>
        <v>2-15/NOS-140/13</v>
      </c>
      <c r="D547" s="2" t="s">
        <v>16</v>
      </c>
      <c r="E547" s="2" t="s">
        <v>690</v>
      </c>
      <c r="F547" s="2" t="s">
        <v>872</v>
      </c>
      <c r="G547" s="2" t="str">
        <f>"2-15/NOS-140/13"</f>
        <v>2-15/NOS-140/13</v>
      </c>
      <c r="H547" s="2" t="str">
        <f t="shared" ref="H547:H578" si="6">"Ugovor na temelju okvirnog sporazuma"</f>
        <v>Ugovor na temelju okvirnog sporazuma</v>
      </c>
      <c r="I547" s="2" t="s">
        <v>19</v>
      </c>
      <c r="J547" s="3" t="str">
        <f>"5.192.000,00"</f>
        <v>5.192.000,00</v>
      </c>
      <c r="K547" s="2" t="s">
        <v>900</v>
      </c>
      <c r="L547" s="2" t="s">
        <v>905</v>
      </c>
      <c r="M547" s="2" t="s">
        <v>906</v>
      </c>
      <c r="N547" s="2" t="str">
        <f>"29.07.2015"</f>
        <v>29.07.2015</v>
      </c>
      <c r="O547" s="3" t="str">
        <f>"5.133.693,84"</f>
        <v>5.133.693,84</v>
      </c>
      <c r="P547" s="4"/>
    </row>
    <row r="548" spans="2:16" s="15" customFormat="1" ht="63" x14ac:dyDescent="0.25">
      <c r="B548" s="12">
        <v>369</v>
      </c>
      <c r="C548" s="12" t="str">
        <f>"1-15/NOS-150/13"</f>
        <v>1-15/NOS-150/13</v>
      </c>
      <c r="D548" s="12" t="s">
        <v>362</v>
      </c>
      <c r="E548" s="12" t="s">
        <v>690</v>
      </c>
      <c r="F548" s="12" t="s">
        <v>907</v>
      </c>
      <c r="G548" s="12" t="str">
        <f>"1-15/NOS-150/13"</f>
        <v>1-15/NOS-150/13</v>
      </c>
      <c r="H548" s="12" t="str">
        <f t="shared" si="6"/>
        <v>Ugovor na temelju okvirnog sporazuma</v>
      </c>
      <c r="I548" s="12" t="s">
        <v>19</v>
      </c>
      <c r="J548" s="13" t="str">
        <f>"97.280,00"</f>
        <v>97.280,00</v>
      </c>
      <c r="K548" s="12" t="s">
        <v>908</v>
      </c>
      <c r="L548" s="12" t="s">
        <v>717</v>
      </c>
      <c r="M548" s="12" t="s">
        <v>366</v>
      </c>
      <c r="N548" s="12" t="s">
        <v>23</v>
      </c>
      <c r="O548" s="13" t="str">
        <f>"97.280,00"</f>
        <v>97.280,00</v>
      </c>
      <c r="P548" s="14"/>
    </row>
    <row r="549" spans="2:16" ht="63" x14ac:dyDescent="0.25">
      <c r="B549" s="2">
        <v>370</v>
      </c>
      <c r="C549" s="2" t="str">
        <f>"2-15/NOS-94/14"</f>
        <v>2-15/NOS-94/14</v>
      </c>
      <c r="D549" s="2" t="s">
        <v>16</v>
      </c>
      <c r="E549" s="2" t="s">
        <v>690</v>
      </c>
      <c r="F549" s="2" t="s">
        <v>909</v>
      </c>
      <c r="G549" s="2" t="str">
        <f>"2-15/NOS-94/14"</f>
        <v>2-15/NOS-94/14</v>
      </c>
      <c r="H549" s="2" t="str">
        <f t="shared" si="6"/>
        <v>Ugovor na temelju okvirnog sporazuma</v>
      </c>
      <c r="I549" s="2" t="s">
        <v>19</v>
      </c>
      <c r="J549" s="3" t="str">
        <f>"615.120,20"</f>
        <v>615.120,20</v>
      </c>
      <c r="K549" s="2" t="s">
        <v>908</v>
      </c>
      <c r="L549" s="2" t="s">
        <v>526</v>
      </c>
      <c r="M549" s="2" t="s">
        <v>650</v>
      </c>
      <c r="N549" s="2" t="str">
        <f>"22.10.2015"</f>
        <v>22.10.2015</v>
      </c>
      <c r="O549" s="3" t="str">
        <f>"586.493,48"</f>
        <v>586.493,48</v>
      </c>
      <c r="P549" s="4"/>
    </row>
    <row r="550" spans="2:16" ht="63" x14ac:dyDescent="0.25">
      <c r="B550" s="2">
        <v>371</v>
      </c>
      <c r="C550" s="2" t="str">
        <f>"1-15/NOS-14/14"</f>
        <v>1-15/NOS-14/14</v>
      </c>
      <c r="D550" s="2" t="s">
        <v>16</v>
      </c>
      <c r="E550" s="2" t="s">
        <v>690</v>
      </c>
      <c r="F550" s="2" t="s">
        <v>910</v>
      </c>
      <c r="G550" s="2" t="str">
        <f>"1-15/NOS-14/14"</f>
        <v>1-15/NOS-14/14</v>
      </c>
      <c r="H550" s="2" t="str">
        <f t="shared" si="6"/>
        <v>Ugovor na temelju okvirnog sporazuma</v>
      </c>
      <c r="I550" s="2" t="s">
        <v>19</v>
      </c>
      <c r="J550" s="3" t="str">
        <f>"300.000,00"</f>
        <v>300.000,00</v>
      </c>
      <c r="K550" s="2" t="s">
        <v>368</v>
      </c>
      <c r="L550" s="2" t="s">
        <v>736</v>
      </c>
      <c r="M550" s="2" t="s">
        <v>911</v>
      </c>
      <c r="N550" s="2" t="str">
        <f>"08.01.2016"</f>
        <v>08.01.2016</v>
      </c>
      <c r="O550" s="3" t="str">
        <f>"208.200,00"</f>
        <v>208.200,00</v>
      </c>
      <c r="P550" s="4"/>
    </row>
    <row r="551" spans="2:16" ht="63" x14ac:dyDescent="0.25">
      <c r="B551" s="2">
        <v>372</v>
      </c>
      <c r="C551" s="2" t="str">
        <f>"7-15/NOS-130/11"</f>
        <v>7-15/NOS-130/11</v>
      </c>
      <c r="D551" s="2" t="s">
        <v>362</v>
      </c>
      <c r="E551" s="2" t="s">
        <v>690</v>
      </c>
      <c r="F551" s="2" t="s">
        <v>912</v>
      </c>
      <c r="G551" s="2" t="str">
        <f>"7-15/NOS-130/11"</f>
        <v>7-15/NOS-130/11</v>
      </c>
      <c r="H551" s="2" t="str">
        <f t="shared" si="6"/>
        <v>Ugovor na temelju okvirnog sporazuma</v>
      </c>
      <c r="I551" s="2" t="s">
        <v>19</v>
      </c>
      <c r="J551" s="3" t="str">
        <f>"66.042,00"</f>
        <v>66.042,00</v>
      </c>
      <c r="K551" s="2" t="s">
        <v>326</v>
      </c>
      <c r="L551" s="2" t="s">
        <v>913</v>
      </c>
      <c r="M551" s="2" t="s">
        <v>814</v>
      </c>
      <c r="N551" s="2" t="s">
        <v>23</v>
      </c>
      <c r="O551" s="3" t="str">
        <f>"0,00"</f>
        <v>0,00</v>
      </c>
      <c r="P551" s="4"/>
    </row>
    <row r="552" spans="2:16" ht="63" x14ac:dyDescent="0.25">
      <c r="B552" s="2">
        <v>373</v>
      </c>
      <c r="C552" s="2" t="str">
        <f>"2-15/NOS-149/13"</f>
        <v>2-15/NOS-149/13</v>
      </c>
      <c r="D552" s="2" t="s">
        <v>16</v>
      </c>
      <c r="E552" s="2" t="s">
        <v>690</v>
      </c>
      <c r="F552" s="2" t="s">
        <v>914</v>
      </c>
      <c r="G552" s="2" t="str">
        <f>"2-15/NOS-149/13"</f>
        <v>2-15/NOS-149/13</v>
      </c>
      <c r="H552" s="2" t="str">
        <f t="shared" si="6"/>
        <v>Ugovor na temelju okvirnog sporazuma</v>
      </c>
      <c r="I552" s="2" t="s">
        <v>19</v>
      </c>
      <c r="J552" s="3" t="str">
        <f>"250.000,00"</f>
        <v>250.000,00</v>
      </c>
      <c r="K552" s="2" t="s">
        <v>915</v>
      </c>
      <c r="L552" s="2" t="s">
        <v>916</v>
      </c>
      <c r="M552" s="2" t="s">
        <v>138</v>
      </c>
      <c r="N552" s="2" t="str">
        <f>"10.12.2015"</f>
        <v>10.12.2015</v>
      </c>
      <c r="O552" s="3" t="str">
        <f>"48.500,00"</f>
        <v>48.500,00</v>
      </c>
      <c r="P552" s="4"/>
    </row>
    <row r="553" spans="2:16" ht="63" x14ac:dyDescent="0.25">
      <c r="B553" s="2">
        <v>374</v>
      </c>
      <c r="C553" s="2" t="str">
        <f>"3-15/NOS-48/14"</f>
        <v>3-15/NOS-48/14</v>
      </c>
      <c r="D553" s="2" t="s">
        <v>85</v>
      </c>
      <c r="E553" s="2" t="s">
        <v>690</v>
      </c>
      <c r="F553" s="2" t="s">
        <v>917</v>
      </c>
      <c r="G553" s="2" t="str">
        <f>"3-15/NOS-48/14"</f>
        <v>3-15/NOS-48/14</v>
      </c>
      <c r="H553" s="2" t="str">
        <f t="shared" si="6"/>
        <v>Ugovor na temelju okvirnog sporazuma</v>
      </c>
      <c r="I553" s="2" t="s">
        <v>19</v>
      </c>
      <c r="J553" s="3" t="str">
        <f>"676.400,00"</f>
        <v>676.400,00</v>
      </c>
      <c r="K553" s="2" t="s">
        <v>100</v>
      </c>
      <c r="L553" s="2" t="s">
        <v>696</v>
      </c>
      <c r="M553" s="2" t="s">
        <v>342</v>
      </c>
      <c r="N553" s="2" t="str">
        <f>"10.08.2015"</f>
        <v>10.08.2015</v>
      </c>
      <c r="O553" s="3" t="str">
        <f>"676.400,00"</f>
        <v>676.400,00</v>
      </c>
      <c r="P553" s="4"/>
    </row>
    <row r="554" spans="2:16" ht="78.75" x14ac:dyDescent="0.25">
      <c r="B554" s="2">
        <v>375</v>
      </c>
      <c r="C554" s="2" t="str">
        <f>"4-15/NOS-130/11"</f>
        <v>4-15/NOS-130/11</v>
      </c>
      <c r="D554" s="2" t="s">
        <v>16</v>
      </c>
      <c r="E554" s="2" t="s">
        <v>690</v>
      </c>
      <c r="F554" s="2" t="s">
        <v>918</v>
      </c>
      <c r="G554" s="2" t="str">
        <f>"4-15/NOS-130/11"</f>
        <v>4-15/NOS-130/11</v>
      </c>
      <c r="H554" s="2" t="str">
        <f t="shared" si="6"/>
        <v>Ugovor na temelju okvirnog sporazuma</v>
      </c>
      <c r="I554" s="2" t="s">
        <v>19</v>
      </c>
      <c r="J554" s="3" t="str">
        <f>"171.772,60"</f>
        <v>171.772,60</v>
      </c>
      <c r="K554" s="2" t="s">
        <v>100</v>
      </c>
      <c r="L554" s="2" t="s">
        <v>448</v>
      </c>
      <c r="M554" s="2" t="s">
        <v>559</v>
      </c>
      <c r="N554" s="2" t="str">
        <f>"09.09.2015"</f>
        <v>09.09.2015</v>
      </c>
      <c r="O554" s="3" t="str">
        <f>"171.772,60"</f>
        <v>171.772,60</v>
      </c>
      <c r="P554" s="4"/>
    </row>
    <row r="555" spans="2:16" ht="94.5" x14ac:dyDescent="0.25">
      <c r="B555" s="2">
        <v>376</v>
      </c>
      <c r="C555" s="2" t="str">
        <f>"3-15/NOS-218/13"</f>
        <v>3-15/NOS-218/13</v>
      </c>
      <c r="D555" s="2" t="s">
        <v>16</v>
      </c>
      <c r="E555" s="2" t="s">
        <v>690</v>
      </c>
      <c r="F555" s="2" t="s">
        <v>919</v>
      </c>
      <c r="G555" s="2" t="str">
        <f>"3-15/NOS-218/13"</f>
        <v>3-15/NOS-218/13</v>
      </c>
      <c r="H555" s="2" t="str">
        <f t="shared" si="6"/>
        <v>Ugovor na temelju okvirnog sporazuma</v>
      </c>
      <c r="I555" s="2" t="s">
        <v>19</v>
      </c>
      <c r="J555" s="3" t="str">
        <f>"356.890,90"</f>
        <v>356.890,90</v>
      </c>
      <c r="K555" s="2" t="s">
        <v>124</v>
      </c>
      <c r="L555" s="2" t="s">
        <v>408</v>
      </c>
      <c r="M555" s="2" t="s">
        <v>920</v>
      </c>
      <c r="N555" s="2" t="str">
        <f>"13.01.2016"</f>
        <v>13.01.2016</v>
      </c>
      <c r="O555" s="3" t="str">
        <f>"116.337,20"</f>
        <v>116.337,20</v>
      </c>
      <c r="P555" s="2"/>
    </row>
    <row r="556" spans="2:16" ht="63" x14ac:dyDescent="0.25">
      <c r="B556" s="2">
        <v>377</v>
      </c>
      <c r="C556" s="2" t="str">
        <f>"8-15/NOS-38-A/13"</f>
        <v>8-15/NOS-38-A/13</v>
      </c>
      <c r="D556" s="2" t="s">
        <v>16</v>
      </c>
      <c r="E556" s="2" t="s">
        <v>690</v>
      </c>
      <c r="F556" s="2" t="s">
        <v>921</v>
      </c>
      <c r="G556" s="2" t="str">
        <f>"8-15/NOS-38-A/13"</f>
        <v>8-15/NOS-38-A/13</v>
      </c>
      <c r="H556" s="2" t="str">
        <f t="shared" si="6"/>
        <v>Ugovor na temelju okvirnog sporazuma</v>
      </c>
      <c r="I556" s="2" t="s">
        <v>19</v>
      </c>
      <c r="J556" s="3" t="str">
        <f>"113.143,00"</f>
        <v>113.143,00</v>
      </c>
      <c r="K556" s="2" t="s">
        <v>71</v>
      </c>
      <c r="L556" s="2" t="s">
        <v>448</v>
      </c>
      <c r="M556" s="2" t="s">
        <v>568</v>
      </c>
      <c r="N556" s="2" t="str">
        <f>"29.12.2015"</f>
        <v>29.12.2015</v>
      </c>
      <c r="O556" s="3" t="str">
        <f>"50.987,40"</f>
        <v>50.987,40</v>
      </c>
      <c r="P556" s="4"/>
    </row>
    <row r="557" spans="2:16" ht="78.75" x14ac:dyDescent="0.25">
      <c r="B557" s="2">
        <v>378</v>
      </c>
      <c r="C557" s="2" t="str">
        <f>"1-15/NOS-93/12"</f>
        <v>1-15/NOS-93/12</v>
      </c>
      <c r="D557" s="2" t="s">
        <v>16</v>
      </c>
      <c r="E557" s="2" t="s">
        <v>690</v>
      </c>
      <c r="F557" s="2" t="s">
        <v>922</v>
      </c>
      <c r="G557" s="2" t="str">
        <f>"1-15/NOS-93/12"</f>
        <v>1-15/NOS-93/12</v>
      </c>
      <c r="H557" s="2" t="str">
        <f t="shared" si="6"/>
        <v>Ugovor na temelju okvirnog sporazuma</v>
      </c>
      <c r="I557" s="2" t="s">
        <v>19</v>
      </c>
      <c r="J557" s="3" t="str">
        <f>"5.899.775,52"</f>
        <v>5.899.775,52</v>
      </c>
      <c r="K557" s="2" t="s">
        <v>71</v>
      </c>
      <c r="L557" s="2" t="s">
        <v>923</v>
      </c>
      <c r="M557" s="2" t="s">
        <v>771</v>
      </c>
      <c r="N557" s="2" t="s">
        <v>23</v>
      </c>
      <c r="O557" s="3" t="str">
        <f>"0,00"</f>
        <v>0,00</v>
      </c>
      <c r="P557" s="4"/>
    </row>
    <row r="558" spans="2:16" ht="63" x14ac:dyDescent="0.25">
      <c r="B558" s="2">
        <v>379</v>
      </c>
      <c r="C558" s="2" t="str">
        <f>"1-15/NOS-33/13"</f>
        <v>1-15/NOS-33/13</v>
      </c>
      <c r="D558" s="2" t="s">
        <v>16</v>
      </c>
      <c r="E558" s="2" t="s">
        <v>690</v>
      </c>
      <c r="F558" s="2" t="s">
        <v>924</v>
      </c>
      <c r="G558" s="2" t="str">
        <f>"1-15/NOS-33/13"</f>
        <v>1-15/NOS-33/13</v>
      </c>
      <c r="H558" s="2" t="str">
        <f t="shared" si="6"/>
        <v>Ugovor na temelju okvirnog sporazuma</v>
      </c>
      <c r="I558" s="2" t="s">
        <v>19</v>
      </c>
      <c r="J558" s="3" t="str">
        <f>"197.547,00"</f>
        <v>197.547,00</v>
      </c>
      <c r="K558" s="2" t="s">
        <v>71</v>
      </c>
      <c r="L558" s="2" t="s">
        <v>408</v>
      </c>
      <c r="M558" s="2" t="s">
        <v>335</v>
      </c>
      <c r="N558" s="2" t="str">
        <f>"23.12.2015"</f>
        <v>23.12.2015</v>
      </c>
      <c r="O558" s="3" t="str">
        <f>"81.484,02"</f>
        <v>81.484,02</v>
      </c>
      <c r="P558" s="4"/>
    </row>
    <row r="559" spans="2:16" ht="63" x14ac:dyDescent="0.25">
      <c r="B559" s="2">
        <v>380</v>
      </c>
      <c r="C559" s="2" t="str">
        <f>"1-15/NOS-153/13"</f>
        <v>1-15/NOS-153/13</v>
      </c>
      <c r="D559" s="2" t="s">
        <v>362</v>
      </c>
      <c r="E559" s="2" t="s">
        <v>690</v>
      </c>
      <c r="F559" s="2" t="s">
        <v>925</v>
      </c>
      <c r="G559" s="2" t="str">
        <f>"1-15/NOS-153/13"</f>
        <v>1-15/NOS-153/13</v>
      </c>
      <c r="H559" s="2" t="str">
        <f t="shared" si="6"/>
        <v>Ugovor na temelju okvirnog sporazuma</v>
      </c>
      <c r="I559" s="2" t="s">
        <v>19</v>
      </c>
      <c r="J559" s="3" t="str">
        <f>"197.258,00"</f>
        <v>197.258,00</v>
      </c>
      <c r="K559" s="2" t="s">
        <v>124</v>
      </c>
      <c r="L559" s="2" t="s">
        <v>926</v>
      </c>
      <c r="M559" s="2" t="s">
        <v>366</v>
      </c>
      <c r="N559" s="2" t="s">
        <v>23</v>
      </c>
      <c r="O559" s="3" t="str">
        <f>"0,00"</f>
        <v>0,00</v>
      </c>
      <c r="P559" s="4"/>
    </row>
    <row r="560" spans="2:16" ht="63" x14ac:dyDescent="0.25">
      <c r="B560" s="2">
        <v>381</v>
      </c>
      <c r="C560" s="2" t="str">
        <f>"1-15/NOS-112/13"</f>
        <v>1-15/NOS-112/13</v>
      </c>
      <c r="D560" s="2" t="s">
        <v>362</v>
      </c>
      <c r="E560" s="2" t="s">
        <v>690</v>
      </c>
      <c r="F560" s="2" t="s">
        <v>927</v>
      </c>
      <c r="G560" s="2" t="str">
        <f>"1-15/NOS-112/13"</f>
        <v>1-15/NOS-112/13</v>
      </c>
      <c r="H560" s="2" t="str">
        <f t="shared" si="6"/>
        <v>Ugovor na temelju okvirnog sporazuma</v>
      </c>
      <c r="I560" s="2" t="s">
        <v>19</v>
      </c>
      <c r="J560" s="3" t="str">
        <f>"40.140,00"</f>
        <v>40.140,00</v>
      </c>
      <c r="K560" s="2" t="s">
        <v>71</v>
      </c>
      <c r="L560" s="2" t="s">
        <v>736</v>
      </c>
      <c r="M560" s="2" t="s">
        <v>928</v>
      </c>
      <c r="N560" s="2" t="s">
        <v>23</v>
      </c>
      <c r="O560" s="3" t="str">
        <f>"0,00"</f>
        <v>0,00</v>
      </c>
      <c r="P560" s="4"/>
    </row>
    <row r="561" spans="2:16" ht="94.5" x14ac:dyDescent="0.25">
      <c r="B561" s="2">
        <v>382</v>
      </c>
      <c r="C561" s="2" t="str">
        <f>"1-15/NOS-71/14"</f>
        <v>1-15/NOS-71/14</v>
      </c>
      <c r="D561" s="2" t="s">
        <v>16</v>
      </c>
      <c r="E561" s="2" t="s">
        <v>690</v>
      </c>
      <c r="F561" s="2" t="s">
        <v>929</v>
      </c>
      <c r="G561" s="2" t="str">
        <f>"1-15/NOS-71/14"</f>
        <v>1-15/NOS-71/14</v>
      </c>
      <c r="H561" s="2" t="str">
        <f t="shared" si="6"/>
        <v>Ugovor na temelju okvirnog sporazuma</v>
      </c>
      <c r="I561" s="2" t="s">
        <v>19</v>
      </c>
      <c r="J561" s="3" t="str">
        <f>"1.150.000,00"</f>
        <v>1.150.000,00</v>
      </c>
      <c r="K561" s="2" t="s">
        <v>71</v>
      </c>
      <c r="L561" s="2" t="s">
        <v>526</v>
      </c>
      <c r="M561" s="2" t="s">
        <v>122</v>
      </c>
      <c r="N561" s="2" t="str">
        <f>"23.11.2015"</f>
        <v>23.11.2015</v>
      </c>
      <c r="O561" s="3" t="str">
        <f>"1.049.835,00"</f>
        <v>1.049.835,00</v>
      </c>
      <c r="P561" s="4"/>
    </row>
    <row r="562" spans="2:16" ht="63" x14ac:dyDescent="0.25">
      <c r="B562" s="2">
        <v>383</v>
      </c>
      <c r="C562" s="2" t="str">
        <f>"7-15/NOS-41/13"</f>
        <v>7-15/NOS-41/13</v>
      </c>
      <c r="D562" s="2" t="s">
        <v>16</v>
      </c>
      <c r="E562" s="2" t="s">
        <v>690</v>
      </c>
      <c r="F562" s="2" t="s">
        <v>930</v>
      </c>
      <c r="G562" s="2" t="str">
        <f>"7-15/NOS-41/13"</f>
        <v>7-15/NOS-41/13</v>
      </c>
      <c r="H562" s="2" t="str">
        <f t="shared" si="6"/>
        <v>Ugovor na temelju okvirnog sporazuma</v>
      </c>
      <c r="I562" s="2" t="s">
        <v>19</v>
      </c>
      <c r="J562" s="3" t="str">
        <f>"159.100,00"</f>
        <v>159.100,00</v>
      </c>
      <c r="K562" s="2" t="s">
        <v>931</v>
      </c>
      <c r="L562" s="2" t="s">
        <v>408</v>
      </c>
      <c r="M562" s="2" t="s">
        <v>497</v>
      </c>
      <c r="N562" s="2" t="str">
        <f>"31.12.2015"</f>
        <v>31.12.2015</v>
      </c>
      <c r="O562" s="3" t="str">
        <f>"63.300,00"</f>
        <v>63.300,00</v>
      </c>
      <c r="P562" s="4"/>
    </row>
    <row r="563" spans="2:16" ht="63" x14ac:dyDescent="0.25">
      <c r="B563" s="2">
        <v>384</v>
      </c>
      <c r="C563" s="2" t="str">
        <f>"1-15/NOS-216-B/13"</f>
        <v>1-15/NOS-216-B/13</v>
      </c>
      <c r="D563" s="2" t="s">
        <v>16</v>
      </c>
      <c r="E563" s="2" t="s">
        <v>690</v>
      </c>
      <c r="F563" s="2" t="s">
        <v>932</v>
      </c>
      <c r="G563" s="2" t="str">
        <f>"1-15/NOS-216-B/13"</f>
        <v>1-15/NOS-216-B/13</v>
      </c>
      <c r="H563" s="2" t="str">
        <f t="shared" si="6"/>
        <v>Ugovor na temelju okvirnog sporazuma</v>
      </c>
      <c r="I563" s="2" t="s">
        <v>19</v>
      </c>
      <c r="J563" s="3" t="str">
        <f>"5.315.180,00"</f>
        <v>5.315.180,00</v>
      </c>
      <c r="K563" s="2" t="s">
        <v>375</v>
      </c>
      <c r="L563" s="2" t="s">
        <v>408</v>
      </c>
      <c r="M563" s="2" t="s">
        <v>358</v>
      </c>
      <c r="N563" s="2" t="str">
        <f>"14.01.2016"</f>
        <v>14.01.2016</v>
      </c>
      <c r="O563" s="3" t="str">
        <f>"5.314.399,77"</f>
        <v>5.314.399,77</v>
      </c>
      <c r="P563" s="2"/>
    </row>
    <row r="564" spans="2:16" ht="78.75" x14ac:dyDescent="0.25">
      <c r="B564" s="2">
        <v>385</v>
      </c>
      <c r="C564" s="2" t="str">
        <f>"1-15/NOS-1/15"</f>
        <v>1-15/NOS-1/15</v>
      </c>
      <c r="D564" s="2" t="s">
        <v>284</v>
      </c>
      <c r="E564" s="2" t="s">
        <v>690</v>
      </c>
      <c r="F564" s="2" t="s">
        <v>933</v>
      </c>
      <c r="G564" s="2" t="str">
        <f>"1-15/NOS-1/15"</f>
        <v>1-15/NOS-1/15</v>
      </c>
      <c r="H564" s="2" t="str">
        <f t="shared" si="6"/>
        <v>Ugovor na temelju okvirnog sporazuma</v>
      </c>
      <c r="I564" s="2" t="s">
        <v>19</v>
      </c>
      <c r="J564" s="3" t="str">
        <f>"516.600,00"</f>
        <v>516.600,00</v>
      </c>
      <c r="K564" s="2" t="s">
        <v>199</v>
      </c>
      <c r="L564" s="2" t="s">
        <v>934</v>
      </c>
      <c r="M564" s="2" t="s">
        <v>286</v>
      </c>
      <c r="N564" s="2" t="str">
        <f>"09.12.2015"</f>
        <v>09.12.2015</v>
      </c>
      <c r="O564" s="3" t="str">
        <f>"277.567,73"</f>
        <v>277.567,73</v>
      </c>
      <c r="P564" s="4"/>
    </row>
    <row r="565" spans="2:16" ht="63" x14ac:dyDescent="0.25">
      <c r="B565" s="2">
        <v>386</v>
      </c>
      <c r="C565" s="2" t="str">
        <f>"2-15/NOS-179/13"</f>
        <v>2-15/NOS-179/13</v>
      </c>
      <c r="D565" s="2" t="s">
        <v>16</v>
      </c>
      <c r="E565" s="2" t="s">
        <v>690</v>
      </c>
      <c r="F565" s="2" t="s">
        <v>935</v>
      </c>
      <c r="G565" s="2" t="str">
        <f>"2-15/NOS-179/13"</f>
        <v>2-15/NOS-179/13</v>
      </c>
      <c r="H565" s="2" t="str">
        <f t="shared" si="6"/>
        <v>Ugovor na temelju okvirnog sporazuma</v>
      </c>
      <c r="I565" s="2" t="s">
        <v>19</v>
      </c>
      <c r="J565" s="3" t="str">
        <f>"810.000,00"</f>
        <v>810.000,00</v>
      </c>
      <c r="K565" s="2" t="s">
        <v>199</v>
      </c>
      <c r="L565" s="2" t="s">
        <v>408</v>
      </c>
      <c r="M565" s="2" t="s">
        <v>506</v>
      </c>
      <c r="N565" s="2" t="str">
        <f>"17.11.2015"</f>
        <v>17.11.2015</v>
      </c>
      <c r="O565" s="3" t="str">
        <f>"562.855,14"</f>
        <v>562.855,14</v>
      </c>
      <c r="P565" s="4"/>
    </row>
    <row r="566" spans="2:16" ht="126" x14ac:dyDescent="0.25">
      <c r="B566" s="2">
        <v>387</v>
      </c>
      <c r="C566" s="2" t="str">
        <f>"1-15/NOS-34/14"</f>
        <v>1-15/NOS-34/14</v>
      </c>
      <c r="D566" s="2" t="s">
        <v>16</v>
      </c>
      <c r="E566" s="2" t="s">
        <v>690</v>
      </c>
      <c r="F566" s="2" t="s">
        <v>936</v>
      </c>
      <c r="G566" s="2" t="str">
        <f>"1-15/NOS-34/14"</f>
        <v>1-15/NOS-34/14</v>
      </c>
      <c r="H566" s="2" t="str">
        <f t="shared" si="6"/>
        <v>Ugovor na temelju okvirnog sporazuma</v>
      </c>
      <c r="I566" s="2" t="s">
        <v>19</v>
      </c>
      <c r="J566" s="3" t="str">
        <f>"1.648.286,00"</f>
        <v>1.648.286,00</v>
      </c>
      <c r="K566" s="2" t="s">
        <v>199</v>
      </c>
      <c r="L566" s="2" t="s">
        <v>937</v>
      </c>
      <c r="M566" s="2" t="s">
        <v>581</v>
      </c>
      <c r="N566" s="2" t="str">
        <f>"12.01.2016"</f>
        <v>12.01.2016</v>
      </c>
      <c r="O566" s="3" t="str">
        <f>"1.404.082,00"</f>
        <v>1.404.082,00</v>
      </c>
      <c r="P566" s="4"/>
    </row>
    <row r="567" spans="2:16" ht="63" x14ac:dyDescent="0.25">
      <c r="B567" s="2">
        <v>388</v>
      </c>
      <c r="C567" s="2" t="str">
        <f>"1-15/NOS-12-B/14"</f>
        <v>1-15/NOS-12-B/14</v>
      </c>
      <c r="D567" s="2" t="s">
        <v>16</v>
      </c>
      <c r="E567" s="2" t="s">
        <v>690</v>
      </c>
      <c r="F567" s="2" t="s">
        <v>938</v>
      </c>
      <c r="G567" s="2" t="str">
        <f>"1-15/NOS-12-B/14"</f>
        <v>1-15/NOS-12-B/14</v>
      </c>
      <c r="H567" s="2" t="str">
        <f t="shared" si="6"/>
        <v>Ugovor na temelju okvirnog sporazuma</v>
      </c>
      <c r="I567" s="2" t="s">
        <v>19</v>
      </c>
      <c r="J567" s="3" t="str">
        <f>"1.168.800,00"</f>
        <v>1.168.800,00</v>
      </c>
      <c r="K567" s="2" t="s">
        <v>315</v>
      </c>
      <c r="L567" s="2" t="s">
        <v>526</v>
      </c>
      <c r="M567" s="2" t="s">
        <v>939</v>
      </c>
      <c r="N567" s="2" t="str">
        <f>"13.01.2016"</f>
        <v>13.01.2016</v>
      </c>
      <c r="O567" s="3" t="str">
        <f>"1.120.526,00"</f>
        <v>1.120.526,00</v>
      </c>
      <c r="P567" s="2"/>
    </row>
    <row r="568" spans="2:16" ht="63" x14ac:dyDescent="0.25">
      <c r="B568" s="2">
        <v>389</v>
      </c>
      <c r="C568" s="2" t="str">
        <f>"5-15/NOS-83/14"</f>
        <v>5-15/NOS-83/14</v>
      </c>
      <c r="D568" s="2" t="s">
        <v>16</v>
      </c>
      <c r="E568" s="2" t="s">
        <v>690</v>
      </c>
      <c r="F568" s="2" t="s">
        <v>940</v>
      </c>
      <c r="G568" s="2" t="str">
        <f>"5-15/NOS-83/14"</f>
        <v>5-15/NOS-83/14</v>
      </c>
      <c r="H568" s="2" t="str">
        <f t="shared" si="6"/>
        <v>Ugovor na temelju okvirnog sporazuma</v>
      </c>
      <c r="I568" s="2" t="s">
        <v>19</v>
      </c>
      <c r="J568" s="3" t="str">
        <f>"619.267,00"</f>
        <v>619.267,00</v>
      </c>
      <c r="K568" s="2" t="s">
        <v>82</v>
      </c>
      <c r="L568" s="2" t="s">
        <v>448</v>
      </c>
      <c r="M568" s="2" t="s">
        <v>941</v>
      </c>
      <c r="N568" s="2" t="str">
        <f>"22.10.2015"</f>
        <v>22.10.2015</v>
      </c>
      <c r="O568" s="3" t="str">
        <f>"428.852,00"</f>
        <v>428.852,00</v>
      </c>
      <c r="P568" s="4"/>
    </row>
    <row r="569" spans="2:16" ht="63" x14ac:dyDescent="0.25">
      <c r="B569" s="2">
        <v>390</v>
      </c>
      <c r="C569" s="2" t="str">
        <f>"11-15/NOS-21/14"</f>
        <v>11-15/NOS-21/14</v>
      </c>
      <c r="D569" s="2" t="s">
        <v>16</v>
      </c>
      <c r="E569" s="2" t="s">
        <v>690</v>
      </c>
      <c r="F569" s="2" t="s">
        <v>942</v>
      </c>
      <c r="G569" s="2" t="str">
        <f>"11-15/NOS-21/14"</f>
        <v>11-15/NOS-21/14</v>
      </c>
      <c r="H569" s="2" t="str">
        <f t="shared" si="6"/>
        <v>Ugovor na temelju okvirnog sporazuma</v>
      </c>
      <c r="I569" s="2" t="s">
        <v>19</v>
      </c>
      <c r="J569" s="3" t="str">
        <f>"93.258,80"</f>
        <v>93.258,80</v>
      </c>
      <c r="K569" s="2" t="s">
        <v>943</v>
      </c>
      <c r="L569" s="2" t="s">
        <v>696</v>
      </c>
      <c r="M569" s="2" t="s">
        <v>944</v>
      </c>
      <c r="N569" s="2" t="str">
        <f>"11.01.2016"</f>
        <v>11.01.2016</v>
      </c>
      <c r="O569" s="3" t="str">
        <f>"19.375,20"</f>
        <v>19.375,20</v>
      </c>
      <c r="P569" s="4"/>
    </row>
    <row r="570" spans="2:16" s="15" customFormat="1" ht="98.25" customHeight="1" x14ac:dyDescent="0.25">
      <c r="B570" s="12">
        <v>391</v>
      </c>
      <c r="C570" s="12" t="str">
        <f>"2-15/NOS-78/14"</f>
        <v>2-15/NOS-78/14</v>
      </c>
      <c r="D570" s="12" t="s">
        <v>85</v>
      </c>
      <c r="E570" s="12" t="s">
        <v>690</v>
      </c>
      <c r="F570" s="12" t="s">
        <v>945</v>
      </c>
      <c r="G570" s="12" t="str">
        <f>"2-15/NOS-78/14"</f>
        <v>2-15/NOS-78/14</v>
      </c>
      <c r="H570" s="12" t="str">
        <f t="shared" si="6"/>
        <v>Ugovor na temelju okvirnog sporazuma</v>
      </c>
      <c r="I570" s="12" t="s">
        <v>19</v>
      </c>
      <c r="J570" s="13" t="str">
        <f>"701.400,00"</f>
        <v>701.400,00</v>
      </c>
      <c r="K570" s="12" t="s">
        <v>943</v>
      </c>
      <c r="L570" s="12" t="s">
        <v>696</v>
      </c>
      <c r="M570" s="12" t="s">
        <v>824</v>
      </c>
      <c r="N570" s="12" t="str">
        <f>"14.11.2015"</f>
        <v>14.11.2015</v>
      </c>
      <c r="O570" s="23">
        <v>594283.19999999995</v>
      </c>
      <c r="P570" s="12"/>
    </row>
    <row r="571" spans="2:16" ht="63" x14ac:dyDescent="0.25">
      <c r="B571" s="2">
        <v>392</v>
      </c>
      <c r="C571" s="2" t="str">
        <f>"1-15/NOS-79/14"</f>
        <v>1-15/NOS-79/14</v>
      </c>
      <c r="D571" s="2" t="s">
        <v>16</v>
      </c>
      <c r="E571" s="2" t="s">
        <v>690</v>
      </c>
      <c r="F571" s="2" t="s">
        <v>946</v>
      </c>
      <c r="G571" s="2" t="str">
        <f>"1-15/NOS-79/14"</f>
        <v>1-15/NOS-79/14</v>
      </c>
      <c r="H571" s="2" t="str">
        <f t="shared" si="6"/>
        <v>Ugovor na temelju okvirnog sporazuma</v>
      </c>
      <c r="I571" s="2" t="s">
        <v>19</v>
      </c>
      <c r="J571" s="3" t="str">
        <f>"273.800,00"</f>
        <v>273.800,00</v>
      </c>
      <c r="K571" s="2" t="s">
        <v>252</v>
      </c>
      <c r="L571" s="2" t="s">
        <v>696</v>
      </c>
      <c r="M571" s="2" t="s">
        <v>891</v>
      </c>
      <c r="N571" s="2" t="str">
        <f>"21.12.2015"</f>
        <v>21.12.2015</v>
      </c>
      <c r="O571" s="3" t="str">
        <f>"127.577,21"</f>
        <v>127.577,21</v>
      </c>
      <c r="P571" s="4"/>
    </row>
    <row r="572" spans="2:16" s="15" customFormat="1" ht="63" x14ac:dyDescent="0.25">
      <c r="B572" s="12">
        <v>393</v>
      </c>
      <c r="C572" s="12" t="str">
        <f>"7-15/NOS-195-A/13"</f>
        <v>7-15/NOS-195-A/13</v>
      </c>
      <c r="D572" s="12" t="s">
        <v>362</v>
      </c>
      <c r="E572" s="12" t="s">
        <v>690</v>
      </c>
      <c r="F572" s="12" t="s">
        <v>947</v>
      </c>
      <c r="G572" s="12" t="str">
        <f>"7-15/NOS-195-A/13"</f>
        <v>7-15/NOS-195-A/13</v>
      </c>
      <c r="H572" s="12" t="str">
        <f t="shared" si="6"/>
        <v>Ugovor na temelju okvirnog sporazuma</v>
      </c>
      <c r="I572" s="12" t="s">
        <v>19</v>
      </c>
      <c r="J572" s="13" t="str">
        <f>"28.312,16"</f>
        <v>28.312,16</v>
      </c>
      <c r="K572" s="12" t="s">
        <v>59</v>
      </c>
      <c r="L572" s="12" t="s">
        <v>448</v>
      </c>
      <c r="M572" s="12" t="s">
        <v>704</v>
      </c>
      <c r="N572" s="12" t="s">
        <v>23</v>
      </c>
      <c r="O572" s="13" t="str">
        <f>"6.490,38"</f>
        <v>6.490,38</v>
      </c>
      <c r="P572" s="14"/>
    </row>
    <row r="573" spans="2:16" s="15" customFormat="1" ht="63" x14ac:dyDescent="0.25">
      <c r="B573" s="12">
        <v>394</v>
      </c>
      <c r="C573" s="12" t="str">
        <f>"8-15/NOS-195-A/13"</f>
        <v>8-15/NOS-195-A/13</v>
      </c>
      <c r="D573" s="12" t="s">
        <v>284</v>
      </c>
      <c r="E573" s="12" t="s">
        <v>690</v>
      </c>
      <c r="F573" s="12" t="s">
        <v>948</v>
      </c>
      <c r="G573" s="12" t="str">
        <f>"8-15/NOS-195-A/13"</f>
        <v>8-15/NOS-195-A/13</v>
      </c>
      <c r="H573" s="12" t="str">
        <f t="shared" si="6"/>
        <v>Ugovor na temelju okvirnog sporazuma</v>
      </c>
      <c r="I573" s="12" t="s">
        <v>19</v>
      </c>
      <c r="J573" s="13" t="str">
        <f>"10.811,18"</f>
        <v>10.811,18</v>
      </c>
      <c r="K573" s="12" t="s">
        <v>59</v>
      </c>
      <c r="L573" s="12" t="s">
        <v>448</v>
      </c>
      <c r="M573" s="12" t="s">
        <v>704</v>
      </c>
      <c r="N573" s="12" t="s">
        <v>23</v>
      </c>
      <c r="O573" s="13" t="str">
        <f>"0,00"</f>
        <v>0,00</v>
      </c>
      <c r="P573" s="14"/>
    </row>
    <row r="574" spans="2:16" ht="63" x14ac:dyDescent="0.25">
      <c r="B574" s="2">
        <v>395</v>
      </c>
      <c r="C574" s="2" t="str">
        <f>"4-15/NOS-195-A/13"</f>
        <v>4-15/NOS-195-A/13</v>
      </c>
      <c r="D574" s="2" t="s">
        <v>707</v>
      </c>
      <c r="E574" s="2" t="s">
        <v>690</v>
      </c>
      <c r="F574" s="2" t="s">
        <v>949</v>
      </c>
      <c r="G574" s="2" t="str">
        <f>"4-15/NOS-195-A/13"</f>
        <v>4-15/NOS-195-A/13</v>
      </c>
      <c r="H574" s="2" t="str">
        <f t="shared" si="6"/>
        <v>Ugovor na temelju okvirnog sporazuma</v>
      </c>
      <c r="I574" s="2" t="s">
        <v>19</v>
      </c>
      <c r="J574" s="3" t="str">
        <f>"4.818,24"</f>
        <v>4.818,24</v>
      </c>
      <c r="K574" s="2" t="s">
        <v>59</v>
      </c>
      <c r="L574" s="2" t="s">
        <v>448</v>
      </c>
      <c r="M574" s="2" t="s">
        <v>704</v>
      </c>
      <c r="N574" s="2" t="str">
        <f>"06.08.2015"</f>
        <v>06.08.2015</v>
      </c>
      <c r="O574" s="3" t="str">
        <f>"3.003,84"</f>
        <v>3.003,84</v>
      </c>
      <c r="P574" s="4"/>
    </row>
    <row r="575" spans="2:16" ht="63" x14ac:dyDescent="0.25">
      <c r="B575" s="2">
        <v>396</v>
      </c>
      <c r="C575" s="2" t="str">
        <f>"1-15/NOS-46/14"</f>
        <v>1-15/NOS-46/14</v>
      </c>
      <c r="D575" s="2" t="s">
        <v>16</v>
      </c>
      <c r="E575" s="2" t="s">
        <v>690</v>
      </c>
      <c r="F575" s="2" t="s">
        <v>950</v>
      </c>
      <c r="G575" s="2" t="str">
        <f>"1-15/NOS-46/14"</f>
        <v>1-15/NOS-46/14</v>
      </c>
      <c r="H575" s="2" t="str">
        <f t="shared" si="6"/>
        <v>Ugovor na temelju okvirnog sporazuma</v>
      </c>
      <c r="I575" s="2" t="s">
        <v>19</v>
      </c>
      <c r="J575" s="3" t="str">
        <f>"873.556,38"</f>
        <v>873.556,38</v>
      </c>
      <c r="K575" s="2" t="s">
        <v>59</v>
      </c>
      <c r="L575" s="2" t="s">
        <v>448</v>
      </c>
      <c r="M575" s="2" t="s">
        <v>458</v>
      </c>
      <c r="N575" s="2" t="str">
        <f>"20.10.2015"</f>
        <v>20.10.2015</v>
      </c>
      <c r="O575" s="3" t="str">
        <f>"827.271,96"</f>
        <v>827.271,96</v>
      </c>
      <c r="P575" s="4"/>
    </row>
    <row r="576" spans="2:16" ht="63" x14ac:dyDescent="0.25">
      <c r="B576" s="2">
        <v>397</v>
      </c>
      <c r="C576" s="2" t="str">
        <f>"1-15/NOS-195-A/13"</f>
        <v>1-15/NOS-195-A/13</v>
      </c>
      <c r="D576" s="2" t="s">
        <v>16</v>
      </c>
      <c r="E576" s="2" t="s">
        <v>690</v>
      </c>
      <c r="F576" s="2" t="s">
        <v>951</v>
      </c>
      <c r="G576" s="2" t="str">
        <f>"1-15/NOS-195-A/13"</f>
        <v>1-15/NOS-195-A/13</v>
      </c>
      <c r="H576" s="2" t="str">
        <f t="shared" si="6"/>
        <v>Ugovor na temelju okvirnog sporazuma</v>
      </c>
      <c r="I576" s="2" t="s">
        <v>19</v>
      </c>
      <c r="J576" s="3" t="str">
        <f>"32.098.879,76"</f>
        <v>32.098.879,76</v>
      </c>
      <c r="K576" s="2" t="s">
        <v>256</v>
      </c>
      <c r="L576" s="2" t="s">
        <v>448</v>
      </c>
      <c r="M576" s="2" t="s">
        <v>704</v>
      </c>
      <c r="N576" s="2" t="str">
        <f>"28.10.2015"</f>
        <v>28.10.2015</v>
      </c>
      <c r="O576" s="3" t="str">
        <f>"28.294.855,87"</f>
        <v>28.294.855,87</v>
      </c>
      <c r="P576" s="4"/>
    </row>
    <row r="577" spans="2:16" ht="78.75" x14ac:dyDescent="0.25">
      <c r="B577" s="2">
        <v>398</v>
      </c>
      <c r="C577" s="2" t="str">
        <f>"1-15/NOS-195-B/13"</f>
        <v>1-15/NOS-195-B/13</v>
      </c>
      <c r="D577" s="2" t="s">
        <v>16</v>
      </c>
      <c r="E577" s="2" t="s">
        <v>690</v>
      </c>
      <c r="F577" s="2" t="s">
        <v>952</v>
      </c>
      <c r="G577" s="2" t="str">
        <f>"1-15/NOS-195-B/13"</f>
        <v>1-15/NOS-195-B/13</v>
      </c>
      <c r="H577" s="2" t="str">
        <f t="shared" si="6"/>
        <v>Ugovor na temelju okvirnog sporazuma</v>
      </c>
      <c r="I577" s="2" t="s">
        <v>19</v>
      </c>
      <c r="J577" s="3" t="str">
        <f>"2.078.941,50"</f>
        <v>2.078.941,50</v>
      </c>
      <c r="K577" s="2" t="s">
        <v>256</v>
      </c>
      <c r="L577" s="2" t="s">
        <v>953</v>
      </c>
      <c r="M577" s="2" t="s">
        <v>209</v>
      </c>
      <c r="N577" s="2" t="str">
        <f>"14.10.2015"</f>
        <v>14.10.2015</v>
      </c>
      <c r="O577" s="3" t="str">
        <f>"1.855.831,73"</f>
        <v>1.855.831,73</v>
      </c>
      <c r="P577" s="4"/>
    </row>
    <row r="578" spans="2:16" ht="63" x14ac:dyDescent="0.25">
      <c r="B578" s="2">
        <v>399</v>
      </c>
      <c r="C578" s="2" t="str">
        <f>"4-15/NOS-91/13"</f>
        <v>4-15/NOS-91/13</v>
      </c>
      <c r="D578" s="2" t="s">
        <v>16</v>
      </c>
      <c r="E578" s="2" t="s">
        <v>690</v>
      </c>
      <c r="F578" s="2" t="s">
        <v>954</v>
      </c>
      <c r="G578" s="2" t="str">
        <f>"4-15/NOS-91/13"</f>
        <v>4-15/NOS-91/13</v>
      </c>
      <c r="H578" s="2" t="str">
        <f t="shared" si="6"/>
        <v>Ugovor na temelju okvirnog sporazuma</v>
      </c>
      <c r="I578" s="2" t="s">
        <v>19</v>
      </c>
      <c r="J578" s="3" t="str">
        <f>"1.802.998,00"</f>
        <v>1.802.998,00</v>
      </c>
      <c r="K578" s="2" t="s">
        <v>256</v>
      </c>
      <c r="L578" s="2" t="s">
        <v>736</v>
      </c>
      <c r="M578" s="2" t="s">
        <v>955</v>
      </c>
      <c r="N578" s="2" t="str">
        <f>"19.10.2015"</f>
        <v>19.10.2015</v>
      </c>
      <c r="O578" s="3" t="str">
        <f>"876.911,48"</f>
        <v>876.911,48</v>
      </c>
      <c r="P578" s="4"/>
    </row>
    <row r="579" spans="2:16" ht="63" x14ac:dyDescent="0.25">
      <c r="B579" s="2">
        <v>400</v>
      </c>
      <c r="C579" s="2" t="str">
        <f>"2-15/NOS-35/14"</f>
        <v>2-15/NOS-35/14</v>
      </c>
      <c r="D579" s="2" t="s">
        <v>16</v>
      </c>
      <c r="E579" s="2" t="s">
        <v>690</v>
      </c>
      <c r="F579" s="2" t="s">
        <v>956</v>
      </c>
      <c r="G579" s="2" t="str">
        <f>"2-15/NOS-35/14"</f>
        <v>2-15/NOS-35/14</v>
      </c>
      <c r="H579" s="2" t="str">
        <f t="shared" ref="H579:H603" si="7">"Ugovor na temelju okvirnog sporazuma"</f>
        <v>Ugovor na temelju okvirnog sporazuma</v>
      </c>
      <c r="I579" s="2" t="s">
        <v>19</v>
      </c>
      <c r="J579" s="3" t="str">
        <f>"35.273,00"</f>
        <v>35.273,00</v>
      </c>
      <c r="K579" s="2" t="s">
        <v>256</v>
      </c>
      <c r="L579" s="2" t="s">
        <v>696</v>
      </c>
      <c r="M579" s="2" t="s">
        <v>957</v>
      </c>
      <c r="N579" s="2" t="s">
        <v>23</v>
      </c>
      <c r="O579" s="3" t="str">
        <f>"0,00"</f>
        <v>0,00</v>
      </c>
      <c r="P579" s="4"/>
    </row>
    <row r="580" spans="2:16" ht="63" x14ac:dyDescent="0.25">
      <c r="B580" s="2">
        <v>401</v>
      </c>
      <c r="C580" s="2" t="str">
        <f>"2-15/NOS-47/14"</f>
        <v>2-15/NOS-47/14</v>
      </c>
      <c r="D580" s="2" t="s">
        <v>16</v>
      </c>
      <c r="E580" s="2" t="s">
        <v>690</v>
      </c>
      <c r="F580" s="2" t="s">
        <v>958</v>
      </c>
      <c r="G580" s="2" t="str">
        <f>"2-15/NOS-47/14"</f>
        <v>2-15/NOS-47/14</v>
      </c>
      <c r="H580" s="2" t="str">
        <f t="shared" si="7"/>
        <v>Ugovor na temelju okvirnog sporazuma</v>
      </c>
      <c r="I580" s="2" t="s">
        <v>19</v>
      </c>
      <c r="J580" s="3" t="str">
        <f>"212.864,48"</f>
        <v>212.864,48</v>
      </c>
      <c r="K580" s="2" t="s">
        <v>959</v>
      </c>
      <c r="L580" s="2" t="s">
        <v>736</v>
      </c>
      <c r="M580" s="2" t="s">
        <v>960</v>
      </c>
      <c r="N580" s="2" t="str">
        <f>"21.10.2015"</f>
        <v>21.10.2015</v>
      </c>
      <c r="O580" s="3" t="str">
        <f>"48.118,23"</f>
        <v>48.118,23</v>
      </c>
      <c r="P580" s="4"/>
    </row>
    <row r="581" spans="2:16" ht="63" x14ac:dyDescent="0.25">
      <c r="B581" s="2">
        <v>402</v>
      </c>
      <c r="C581" s="2" t="str">
        <f>"4-15/NOS-11/15"</f>
        <v>4-15/NOS-11/15</v>
      </c>
      <c r="D581" s="2" t="s">
        <v>362</v>
      </c>
      <c r="E581" s="2" t="s">
        <v>690</v>
      </c>
      <c r="F581" s="2" t="s">
        <v>961</v>
      </c>
      <c r="G581" s="2" t="str">
        <f>"4-15/NOS-11/15"</f>
        <v>4-15/NOS-11/15</v>
      </c>
      <c r="H581" s="2" t="str">
        <f t="shared" si="7"/>
        <v>Ugovor na temelju okvirnog sporazuma</v>
      </c>
      <c r="I581" s="2" t="s">
        <v>19</v>
      </c>
      <c r="J581" s="3" t="str">
        <f>"5.823.000,00"</f>
        <v>5.823.000,00</v>
      </c>
      <c r="K581" s="2" t="s">
        <v>962</v>
      </c>
      <c r="L581" s="2" t="s">
        <v>826</v>
      </c>
      <c r="M581" s="2" t="s">
        <v>119</v>
      </c>
      <c r="N581" s="2" t="str">
        <f>"08.09.2015"</f>
        <v>08.09.2015</v>
      </c>
      <c r="O581" s="3" t="str">
        <f>"2.286.238,07"</f>
        <v>2.286.238,07</v>
      </c>
      <c r="P581" s="4"/>
    </row>
    <row r="582" spans="2:16" ht="63" x14ac:dyDescent="0.25">
      <c r="B582" s="2">
        <v>403</v>
      </c>
      <c r="C582" s="2" t="str">
        <f>"3-15/NOS-11/15"</f>
        <v>3-15/NOS-11/15</v>
      </c>
      <c r="D582" s="2" t="s">
        <v>85</v>
      </c>
      <c r="E582" s="2" t="s">
        <v>690</v>
      </c>
      <c r="F582" s="2" t="s">
        <v>963</v>
      </c>
      <c r="G582" s="2" t="str">
        <f>"3-15/NOS-11/15"</f>
        <v>3-15/NOS-11/15</v>
      </c>
      <c r="H582" s="2" t="str">
        <f t="shared" si="7"/>
        <v>Ugovor na temelju okvirnog sporazuma</v>
      </c>
      <c r="I582" s="2" t="s">
        <v>19</v>
      </c>
      <c r="J582" s="3" t="str">
        <f>"2.678.300,00"</f>
        <v>2.678.300,00</v>
      </c>
      <c r="K582" s="2" t="s">
        <v>962</v>
      </c>
      <c r="L582" s="2" t="s">
        <v>826</v>
      </c>
      <c r="M582" s="2" t="s">
        <v>119</v>
      </c>
      <c r="N582" s="2" t="str">
        <f>"14.11.2015"</f>
        <v>14.11.2015</v>
      </c>
      <c r="O582" s="3" t="str">
        <f>"617.664,28"</f>
        <v>617.664,28</v>
      </c>
      <c r="P582" s="4"/>
    </row>
    <row r="583" spans="2:16" ht="63" x14ac:dyDescent="0.25">
      <c r="B583" s="2">
        <v>404</v>
      </c>
      <c r="C583" s="2" t="str">
        <f>"1-15/NOS-54/11"</f>
        <v>1-15/NOS-54/11</v>
      </c>
      <c r="D583" s="2" t="s">
        <v>16</v>
      </c>
      <c r="E583" s="2" t="s">
        <v>690</v>
      </c>
      <c r="F583" s="2" t="s">
        <v>964</v>
      </c>
      <c r="G583" s="2" t="str">
        <f>"1-15/NOS-54/11"</f>
        <v>1-15/NOS-54/11</v>
      </c>
      <c r="H583" s="2" t="str">
        <f t="shared" si="7"/>
        <v>Ugovor na temelju okvirnog sporazuma</v>
      </c>
      <c r="I583" s="2" t="s">
        <v>19</v>
      </c>
      <c r="J583" s="3" t="str">
        <f>"216.900,00"</f>
        <v>216.900,00</v>
      </c>
      <c r="K583" s="2" t="s">
        <v>162</v>
      </c>
      <c r="L583" s="2" t="s">
        <v>696</v>
      </c>
      <c r="M583" s="2" t="s">
        <v>197</v>
      </c>
      <c r="N583" s="2" t="str">
        <f>"11.08.2015"</f>
        <v>11.08.2015</v>
      </c>
      <c r="O583" s="3" t="str">
        <f>"72.300,00"</f>
        <v>72.300,00</v>
      </c>
      <c r="P583" s="4"/>
    </row>
    <row r="584" spans="2:16" ht="63" x14ac:dyDescent="0.25">
      <c r="B584" s="2">
        <v>405</v>
      </c>
      <c r="C584" s="2" t="str">
        <f>"1-15/NOS-57/11"</f>
        <v>1-15/NOS-57/11</v>
      </c>
      <c r="D584" s="2" t="s">
        <v>16</v>
      </c>
      <c r="E584" s="2" t="s">
        <v>690</v>
      </c>
      <c r="F584" s="2" t="s">
        <v>965</v>
      </c>
      <c r="G584" s="2" t="str">
        <f>"1-15/NOS-57/11"</f>
        <v>1-15/NOS-57/11</v>
      </c>
      <c r="H584" s="2" t="str">
        <f t="shared" si="7"/>
        <v>Ugovor na temelju okvirnog sporazuma</v>
      </c>
      <c r="I584" s="2" t="s">
        <v>19</v>
      </c>
      <c r="J584" s="3" t="str">
        <f>"180.000,00"</f>
        <v>180.000,00</v>
      </c>
      <c r="K584" s="2" t="s">
        <v>962</v>
      </c>
      <c r="L584" s="2" t="s">
        <v>926</v>
      </c>
      <c r="M584" s="2" t="s">
        <v>966</v>
      </c>
      <c r="N584" s="2" t="str">
        <f>"03.11.2015"</f>
        <v>03.11.2015</v>
      </c>
      <c r="O584" s="3" t="str">
        <f>"120.000,00"</f>
        <v>120.000,00</v>
      </c>
      <c r="P584" s="4"/>
    </row>
    <row r="585" spans="2:16" ht="78.75" x14ac:dyDescent="0.25">
      <c r="B585" s="2">
        <v>406</v>
      </c>
      <c r="C585" s="2" t="str">
        <f>"2-15/NOS-61/13"</f>
        <v>2-15/NOS-61/13</v>
      </c>
      <c r="D585" s="2" t="s">
        <v>16</v>
      </c>
      <c r="E585" s="2" t="s">
        <v>690</v>
      </c>
      <c r="F585" s="2" t="s">
        <v>967</v>
      </c>
      <c r="G585" s="2" t="str">
        <f>"2-15/NOS-61/13"</f>
        <v>2-15/NOS-61/13</v>
      </c>
      <c r="H585" s="2" t="str">
        <f t="shared" si="7"/>
        <v>Ugovor na temelju okvirnog sporazuma</v>
      </c>
      <c r="I585" s="2" t="s">
        <v>19</v>
      </c>
      <c r="J585" s="3" t="str">
        <f>"810.000,00"</f>
        <v>810.000,00</v>
      </c>
      <c r="K585" s="2" t="s">
        <v>962</v>
      </c>
      <c r="L585" s="2" t="s">
        <v>782</v>
      </c>
      <c r="M585" s="2" t="s">
        <v>968</v>
      </c>
      <c r="N585" s="2" t="str">
        <f>"03.12.2015"</f>
        <v>03.12.2015</v>
      </c>
      <c r="O585" s="3" t="str">
        <f>"810.000,00"</f>
        <v>810.000,00</v>
      </c>
      <c r="P585" s="4"/>
    </row>
    <row r="586" spans="2:16" ht="63" x14ac:dyDescent="0.25">
      <c r="B586" s="2">
        <v>407</v>
      </c>
      <c r="C586" s="2" t="str">
        <f>"2-15/NOS-15/15"</f>
        <v>2-15/NOS-15/15</v>
      </c>
      <c r="D586" s="2" t="s">
        <v>16</v>
      </c>
      <c r="E586" s="2" t="s">
        <v>690</v>
      </c>
      <c r="F586" s="2" t="s">
        <v>969</v>
      </c>
      <c r="G586" s="2" t="str">
        <f>"2-15/NOS-15/15"</f>
        <v>2-15/NOS-15/15</v>
      </c>
      <c r="H586" s="2" t="str">
        <f t="shared" si="7"/>
        <v>Ugovor na temelju okvirnog sporazuma</v>
      </c>
      <c r="I586" s="2" t="s">
        <v>19</v>
      </c>
      <c r="J586" s="3" t="str">
        <f>"399.981,00"</f>
        <v>399.981,00</v>
      </c>
      <c r="K586" s="2" t="s">
        <v>962</v>
      </c>
      <c r="L586" s="2" t="s">
        <v>970</v>
      </c>
      <c r="M586" s="2" t="s">
        <v>309</v>
      </c>
      <c r="N586" s="2" t="str">
        <f>"23.12.2015"</f>
        <v>23.12.2015</v>
      </c>
      <c r="O586" s="3" t="str">
        <f>"338.734,00"</f>
        <v>338.734,00</v>
      </c>
      <c r="P586" s="4"/>
    </row>
    <row r="587" spans="2:16" ht="63" x14ac:dyDescent="0.25">
      <c r="B587" s="2">
        <v>408</v>
      </c>
      <c r="C587" s="2" t="str">
        <f>"12-15/NOS-59/14"</f>
        <v>12-15/NOS-59/14</v>
      </c>
      <c r="D587" s="2" t="s">
        <v>85</v>
      </c>
      <c r="E587" s="2" t="s">
        <v>690</v>
      </c>
      <c r="F587" s="2" t="s">
        <v>971</v>
      </c>
      <c r="G587" s="2" t="str">
        <f>"12-15/NOS-59/14"</f>
        <v>12-15/NOS-59/14</v>
      </c>
      <c r="H587" s="2" t="str">
        <f t="shared" si="7"/>
        <v>Ugovor na temelju okvirnog sporazuma</v>
      </c>
      <c r="I587" s="2" t="s">
        <v>19</v>
      </c>
      <c r="J587" s="3" t="str">
        <f>"7.289.500,00"</f>
        <v>7.289.500,00</v>
      </c>
      <c r="K587" s="2" t="s">
        <v>151</v>
      </c>
      <c r="L587" s="2" t="s">
        <v>926</v>
      </c>
      <c r="M587" s="2" t="s">
        <v>740</v>
      </c>
      <c r="N587" s="2" t="str">
        <f>"25.11.2015"</f>
        <v>25.11.2015</v>
      </c>
      <c r="O587" s="3" t="str">
        <f>"4.900.900,00"</f>
        <v>4.900.900,00</v>
      </c>
      <c r="P587" s="4"/>
    </row>
    <row r="588" spans="2:16" ht="63" x14ac:dyDescent="0.25">
      <c r="B588" s="2">
        <v>409</v>
      </c>
      <c r="C588" s="2" t="str">
        <f>"6-15/NOS-4/14"</f>
        <v>6-15/NOS-4/14</v>
      </c>
      <c r="D588" s="2" t="s">
        <v>85</v>
      </c>
      <c r="E588" s="2" t="s">
        <v>690</v>
      </c>
      <c r="F588" s="2" t="s">
        <v>972</v>
      </c>
      <c r="G588" s="2" t="str">
        <f>"6-15/NOS-4/14"</f>
        <v>6-15/NOS-4/14</v>
      </c>
      <c r="H588" s="2" t="str">
        <f t="shared" si="7"/>
        <v>Ugovor na temelju okvirnog sporazuma</v>
      </c>
      <c r="I588" s="2" t="s">
        <v>19</v>
      </c>
      <c r="J588" s="3" t="str">
        <f>"2.199.750,00"</f>
        <v>2.199.750,00</v>
      </c>
      <c r="K588" s="2" t="s">
        <v>151</v>
      </c>
      <c r="L588" s="2" t="s">
        <v>926</v>
      </c>
      <c r="M588" s="2" t="s">
        <v>740</v>
      </c>
      <c r="N588" s="2" t="str">
        <f>"12.01.2016"</f>
        <v>12.01.2016</v>
      </c>
      <c r="O588" s="3" t="str">
        <f>"2.030.170,00"</f>
        <v>2.030.170,00</v>
      </c>
      <c r="P588" s="4"/>
    </row>
    <row r="589" spans="2:16" ht="63" x14ac:dyDescent="0.25">
      <c r="B589" s="2">
        <v>410</v>
      </c>
      <c r="C589" s="2" t="str">
        <f>"2-15/NOS-45/15"</f>
        <v>2-15/NOS-45/15</v>
      </c>
      <c r="D589" s="2" t="s">
        <v>16</v>
      </c>
      <c r="E589" s="2" t="s">
        <v>690</v>
      </c>
      <c r="F589" s="2" t="s">
        <v>973</v>
      </c>
      <c r="G589" s="2" t="str">
        <f>"2-15/NOS-45/15"</f>
        <v>2-15/NOS-45/15</v>
      </c>
      <c r="H589" s="2" t="str">
        <f t="shared" si="7"/>
        <v>Ugovor na temelju okvirnog sporazuma</v>
      </c>
      <c r="I589" s="2" t="s">
        <v>19</v>
      </c>
      <c r="J589" s="3" t="str">
        <f>"57.375.000,00"</f>
        <v>57.375.000,00</v>
      </c>
      <c r="K589" s="2" t="s">
        <v>905</v>
      </c>
      <c r="L589" s="2" t="s">
        <v>974</v>
      </c>
      <c r="M589" s="2" t="s">
        <v>220</v>
      </c>
      <c r="N589" s="2" t="str">
        <f>"14.01.2016"</f>
        <v>14.01.2016</v>
      </c>
      <c r="O589" s="3" t="str">
        <f>"29.480.032,50"</f>
        <v>29.480.032,50</v>
      </c>
      <c r="P589" s="4"/>
    </row>
    <row r="590" spans="2:16" ht="78.75" x14ac:dyDescent="0.25">
      <c r="B590" s="2">
        <v>411</v>
      </c>
      <c r="C590" s="2" t="str">
        <f>"3-15/NOS-92/14"</f>
        <v>3-15/NOS-92/14</v>
      </c>
      <c r="D590" s="2" t="s">
        <v>16</v>
      </c>
      <c r="E590" s="2" t="s">
        <v>690</v>
      </c>
      <c r="F590" s="2" t="s">
        <v>975</v>
      </c>
      <c r="G590" s="2" t="str">
        <f>"3-15/NOS-92/14"</f>
        <v>3-15/NOS-92/14</v>
      </c>
      <c r="H590" s="2" t="str">
        <f t="shared" si="7"/>
        <v>Ugovor na temelju okvirnog sporazuma</v>
      </c>
      <c r="I590" s="2" t="s">
        <v>19</v>
      </c>
      <c r="J590" s="3" t="str">
        <f>"1.185.800,00"</f>
        <v>1.185.800,00</v>
      </c>
      <c r="K590" s="2" t="s">
        <v>140</v>
      </c>
      <c r="L590" s="2" t="s">
        <v>526</v>
      </c>
      <c r="M590" s="2" t="s">
        <v>859</v>
      </c>
      <c r="N590" s="2" t="str">
        <f>"28.12.2015"</f>
        <v>28.12.2015</v>
      </c>
      <c r="O590" s="3" t="str">
        <f>"966.775,00"</f>
        <v>966.775,00</v>
      </c>
      <c r="P590" s="4"/>
    </row>
    <row r="591" spans="2:16" s="19" customFormat="1" ht="63" x14ac:dyDescent="0.25">
      <c r="B591" s="16">
        <v>412</v>
      </c>
      <c r="C591" s="16" t="str">
        <f>"4-15/NOS-91/14"</f>
        <v>4-15/NOS-91/14</v>
      </c>
      <c r="D591" s="16" t="s">
        <v>16</v>
      </c>
      <c r="E591" s="16" t="s">
        <v>690</v>
      </c>
      <c r="F591" s="16" t="s">
        <v>976</v>
      </c>
      <c r="G591" s="16" t="str">
        <f>"4-15/NOS-91/14"</f>
        <v>4-15/NOS-91/14</v>
      </c>
      <c r="H591" s="16" t="str">
        <f t="shared" si="7"/>
        <v>Ugovor na temelju okvirnog sporazuma</v>
      </c>
      <c r="I591" s="16" t="s">
        <v>19</v>
      </c>
      <c r="J591" s="17" t="str">
        <f>"1.923.000,00"</f>
        <v>1.923.000,00</v>
      </c>
      <c r="K591" s="16" t="s">
        <v>140</v>
      </c>
      <c r="L591" s="16" t="s">
        <v>448</v>
      </c>
      <c r="M591" s="16" t="s">
        <v>122</v>
      </c>
      <c r="N591" s="16" t="str">
        <f>"22.10.2015"</f>
        <v>22.10.2015</v>
      </c>
      <c r="O591" s="17" t="str">
        <f>"1.923.813,42"</f>
        <v>1.923.813,42</v>
      </c>
      <c r="P591" s="16" t="s">
        <v>880</v>
      </c>
    </row>
    <row r="592" spans="2:16" ht="63" x14ac:dyDescent="0.25">
      <c r="B592" s="2">
        <v>413</v>
      </c>
      <c r="C592" s="2" t="str">
        <f>"9-15/NOS-130/11"</f>
        <v>9-15/NOS-130/11</v>
      </c>
      <c r="D592" s="2" t="s">
        <v>707</v>
      </c>
      <c r="E592" s="2" t="s">
        <v>690</v>
      </c>
      <c r="F592" s="2" t="s">
        <v>977</v>
      </c>
      <c r="G592" s="2" t="str">
        <f>"9-15/NOS-130/11"</f>
        <v>9-15/NOS-130/11</v>
      </c>
      <c r="H592" s="2" t="str">
        <f t="shared" si="7"/>
        <v>Ugovor na temelju okvirnog sporazuma</v>
      </c>
      <c r="I592" s="2" t="s">
        <v>19</v>
      </c>
      <c r="J592" s="3" t="str">
        <f>"19.773,00"</f>
        <v>19.773,00</v>
      </c>
      <c r="K592" s="2" t="s">
        <v>140</v>
      </c>
      <c r="L592" s="2" t="s">
        <v>974</v>
      </c>
      <c r="M592" s="2" t="s">
        <v>814</v>
      </c>
      <c r="N592" s="2" t="str">
        <f>"07.01.2016"</f>
        <v>07.01.2016</v>
      </c>
      <c r="O592" s="3" t="str">
        <f>"9.477,25"</f>
        <v>9.477,25</v>
      </c>
      <c r="P592" s="4"/>
    </row>
    <row r="593" spans="2:16" ht="63" x14ac:dyDescent="0.25">
      <c r="B593" s="2">
        <v>414</v>
      </c>
      <c r="C593" s="2" t="str">
        <f>"4-15/NOS-29/14"</f>
        <v>4-15/NOS-29/14</v>
      </c>
      <c r="D593" s="2" t="s">
        <v>16</v>
      </c>
      <c r="E593" s="2" t="s">
        <v>690</v>
      </c>
      <c r="F593" s="2" t="s">
        <v>978</v>
      </c>
      <c r="G593" s="2" t="str">
        <f>"4-15/NOS-29/14"</f>
        <v>4-15/NOS-29/14</v>
      </c>
      <c r="H593" s="2" t="str">
        <f t="shared" si="7"/>
        <v>Ugovor na temelju okvirnog sporazuma</v>
      </c>
      <c r="I593" s="2" t="s">
        <v>19</v>
      </c>
      <c r="J593" s="3" t="str">
        <f>"128.000,00"</f>
        <v>128.000,00</v>
      </c>
      <c r="K593" s="2" t="s">
        <v>140</v>
      </c>
      <c r="L593" s="2" t="s">
        <v>979</v>
      </c>
      <c r="M593" s="2" t="s">
        <v>980</v>
      </c>
      <c r="N593" s="2" t="str">
        <f>"25.11.2015"</f>
        <v>25.11.2015</v>
      </c>
      <c r="O593" s="3" t="str">
        <f>"106.492,50"</f>
        <v>106.492,50</v>
      </c>
      <c r="P593" s="4"/>
    </row>
    <row r="594" spans="2:16" ht="78.75" x14ac:dyDescent="0.25">
      <c r="B594" s="2">
        <v>415</v>
      </c>
      <c r="C594" s="2" t="str">
        <f>"2-15/NOS-44/15"</f>
        <v>2-15/NOS-44/15</v>
      </c>
      <c r="D594" s="2" t="s">
        <v>16</v>
      </c>
      <c r="E594" s="2" t="s">
        <v>690</v>
      </c>
      <c r="F594" s="2" t="s">
        <v>981</v>
      </c>
      <c r="G594" s="2" t="str">
        <f>"2-15/NOS-44/15"</f>
        <v>2-15/NOS-44/15</v>
      </c>
      <c r="H594" s="2" t="str">
        <f t="shared" si="7"/>
        <v>Ugovor na temelju okvirnog sporazuma</v>
      </c>
      <c r="I594" s="2" t="s">
        <v>19</v>
      </c>
      <c r="J594" s="3" t="str">
        <f>"430.397,60"</f>
        <v>430.397,60</v>
      </c>
      <c r="K594" s="2" t="s">
        <v>140</v>
      </c>
      <c r="L594" s="2" t="s">
        <v>982</v>
      </c>
      <c r="M594" s="2" t="s">
        <v>281</v>
      </c>
      <c r="N594" s="2" t="str">
        <f>"20.10.2015"</f>
        <v>20.10.2015</v>
      </c>
      <c r="O594" s="3" t="str">
        <f>"216.818,96"</f>
        <v>216.818,96</v>
      </c>
      <c r="P594" s="2"/>
    </row>
    <row r="595" spans="2:16" ht="78.75" x14ac:dyDescent="0.25">
      <c r="B595" s="2">
        <v>416</v>
      </c>
      <c r="C595" s="2" t="str">
        <f>"1-15/NOS-109/14"</f>
        <v>1-15/NOS-109/14</v>
      </c>
      <c r="D595" s="2" t="s">
        <v>16</v>
      </c>
      <c r="E595" s="2" t="s">
        <v>690</v>
      </c>
      <c r="F595" s="2" t="s">
        <v>983</v>
      </c>
      <c r="G595" s="2" t="str">
        <f>"1-15/NOS-109/14"</f>
        <v>1-15/NOS-109/14</v>
      </c>
      <c r="H595" s="2" t="str">
        <f t="shared" si="7"/>
        <v>Ugovor na temelju okvirnog sporazuma</v>
      </c>
      <c r="I595" s="2" t="s">
        <v>19</v>
      </c>
      <c r="J595" s="3" t="str">
        <f>"199.858,40"</f>
        <v>199.858,40</v>
      </c>
      <c r="K595" s="2" t="s">
        <v>140</v>
      </c>
      <c r="L595" s="2" t="s">
        <v>696</v>
      </c>
      <c r="M595" s="2" t="s">
        <v>107</v>
      </c>
      <c r="N595" s="2" t="str">
        <f>"23.09.2015"</f>
        <v>23.09.2015</v>
      </c>
      <c r="O595" s="3" t="str">
        <f>"199.290,94"</f>
        <v>199.290,94</v>
      </c>
      <c r="P595" s="4"/>
    </row>
    <row r="596" spans="2:16" ht="63" x14ac:dyDescent="0.25">
      <c r="B596" s="2">
        <v>417</v>
      </c>
      <c r="C596" s="2" t="str">
        <f>"10-15/NOS-130/11"</f>
        <v>10-15/NOS-130/11</v>
      </c>
      <c r="D596" s="2" t="s">
        <v>16</v>
      </c>
      <c r="E596" s="2" t="s">
        <v>690</v>
      </c>
      <c r="F596" s="2" t="s">
        <v>984</v>
      </c>
      <c r="G596" s="2" t="str">
        <f>"10-15/NOS-130/11"</f>
        <v>10-15/NOS-130/11</v>
      </c>
      <c r="H596" s="2" t="str">
        <f t="shared" si="7"/>
        <v>Ugovor na temelju okvirnog sporazuma</v>
      </c>
      <c r="I596" s="2" t="s">
        <v>19</v>
      </c>
      <c r="J596" s="3" t="str">
        <f>"377.975,10"</f>
        <v>377.975,10</v>
      </c>
      <c r="K596" s="2" t="s">
        <v>985</v>
      </c>
      <c r="L596" s="2" t="s">
        <v>974</v>
      </c>
      <c r="M596" s="2" t="s">
        <v>559</v>
      </c>
      <c r="N596" s="2" t="s">
        <v>23</v>
      </c>
      <c r="O596" s="3" t="str">
        <f>"0,00"</f>
        <v>0,00</v>
      </c>
      <c r="P596" s="4"/>
    </row>
    <row r="597" spans="2:16" ht="63" x14ac:dyDescent="0.25">
      <c r="B597" s="2">
        <v>418</v>
      </c>
      <c r="C597" s="2" t="str">
        <f>"7-15/NOS-54/13"</f>
        <v>7-15/NOS-54/13</v>
      </c>
      <c r="D597" s="2" t="s">
        <v>16</v>
      </c>
      <c r="E597" s="2" t="s">
        <v>690</v>
      </c>
      <c r="F597" s="2" t="s">
        <v>986</v>
      </c>
      <c r="G597" s="2" t="str">
        <f>"7-15/NOS-54/13"</f>
        <v>7-15/NOS-54/13</v>
      </c>
      <c r="H597" s="2" t="str">
        <f t="shared" si="7"/>
        <v>Ugovor na temelju okvirnog sporazuma</v>
      </c>
      <c r="I597" s="2" t="s">
        <v>19</v>
      </c>
      <c r="J597" s="3" t="str">
        <f>"89.106,60"</f>
        <v>89.106,60</v>
      </c>
      <c r="K597" s="2" t="s">
        <v>987</v>
      </c>
      <c r="L597" s="2" t="s">
        <v>736</v>
      </c>
      <c r="M597" s="2" t="s">
        <v>61</v>
      </c>
      <c r="N597" s="2" t="str">
        <f>"09.12.2015"</f>
        <v>09.12.2015</v>
      </c>
      <c r="O597" s="3" t="str">
        <f>"53.076,60"</f>
        <v>53.076,60</v>
      </c>
      <c r="P597" s="4"/>
    </row>
    <row r="598" spans="2:16" ht="126" x14ac:dyDescent="0.25">
      <c r="B598" s="2">
        <v>419</v>
      </c>
      <c r="C598" s="2" t="str">
        <f>"1-15/NOS-63/14"</f>
        <v>1-15/NOS-63/14</v>
      </c>
      <c r="D598" s="2" t="s">
        <v>16</v>
      </c>
      <c r="E598" s="2" t="s">
        <v>690</v>
      </c>
      <c r="F598" s="2" t="s">
        <v>988</v>
      </c>
      <c r="G598" s="2" t="str">
        <f>"1-15/NOS-63/14"</f>
        <v>1-15/NOS-63/14</v>
      </c>
      <c r="H598" s="2" t="str">
        <f t="shared" si="7"/>
        <v>Ugovor na temelju okvirnog sporazuma</v>
      </c>
      <c r="I598" s="2" t="s">
        <v>19</v>
      </c>
      <c r="J598" s="3" t="str">
        <f>"689.590,00"</f>
        <v>689.590,00</v>
      </c>
      <c r="K598" s="2" t="s">
        <v>987</v>
      </c>
      <c r="L598" s="2" t="s">
        <v>408</v>
      </c>
      <c r="M598" s="2" t="s">
        <v>989</v>
      </c>
      <c r="N598" s="2" t="str">
        <f>"10.12.2015"</f>
        <v>10.12.2015</v>
      </c>
      <c r="O598" s="3" t="str">
        <f>"501.233,00"</f>
        <v>501.233,00</v>
      </c>
      <c r="P598" s="4"/>
    </row>
    <row r="599" spans="2:16" ht="109.5" customHeight="1" x14ac:dyDescent="0.25">
      <c r="B599" s="2">
        <v>420</v>
      </c>
      <c r="C599" s="2" t="str">
        <f>"2-15/NOS-170/10"</f>
        <v>2-15/NOS-170/10</v>
      </c>
      <c r="D599" s="2" t="s">
        <v>16</v>
      </c>
      <c r="E599" s="2" t="s">
        <v>690</v>
      </c>
      <c r="F599" s="2" t="s">
        <v>990</v>
      </c>
      <c r="G599" s="2" t="str">
        <f>"2-15/NOS-170/10"</f>
        <v>2-15/NOS-170/10</v>
      </c>
      <c r="H599" s="2" t="str">
        <f t="shared" si="7"/>
        <v>Ugovor na temelju okvirnog sporazuma</v>
      </c>
      <c r="I599" s="2" t="s">
        <v>19</v>
      </c>
      <c r="J599" s="3" t="str">
        <f>"698.205,58"</f>
        <v>698.205,58</v>
      </c>
      <c r="K599" s="2" t="s">
        <v>987</v>
      </c>
      <c r="L599" s="2" t="s">
        <v>926</v>
      </c>
      <c r="M599" s="2" t="s">
        <v>991</v>
      </c>
      <c r="N599" s="2" t="str">
        <f>"29.12.2015"</f>
        <v>29.12.2015</v>
      </c>
      <c r="O599" s="3" t="str">
        <f>"293.093,98"</f>
        <v>293.093,98</v>
      </c>
      <c r="P599" s="4"/>
    </row>
    <row r="600" spans="2:16" ht="63" x14ac:dyDescent="0.25">
      <c r="B600" s="2">
        <v>421</v>
      </c>
      <c r="C600" s="2" t="str">
        <f>"2-15/NOS-132/13"</f>
        <v>2-15/NOS-132/13</v>
      </c>
      <c r="D600" s="2" t="s">
        <v>16</v>
      </c>
      <c r="E600" s="2" t="s">
        <v>690</v>
      </c>
      <c r="F600" s="2" t="s">
        <v>992</v>
      </c>
      <c r="G600" s="2" t="str">
        <f>"2-15/NOS-132/13"</f>
        <v>2-15/NOS-132/13</v>
      </c>
      <c r="H600" s="2" t="str">
        <f t="shared" si="7"/>
        <v>Ugovor na temelju okvirnog sporazuma</v>
      </c>
      <c r="I600" s="2" t="s">
        <v>19</v>
      </c>
      <c r="J600" s="3" t="str">
        <f>"35.400,00"</f>
        <v>35.400,00</v>
      </c>
      <c r="K600" s="2" t="s">
        <v>195</v>
      </c>
      <c r="L600" s="2" t="s">
        <v>408</v>
      </c>
      <c r="M600" s="2" t="s">
        <v>856</v>
      </c>
      <c r="N600" s="2" t="str">
        <f>"22.10.2015"</f>
        <v>22.10.2015</v>
      </c>
      <c r="O600" s="3" t="str">
        <f>"35.400,00"</f>
        <v>35.400,00</v>
      </c>
      <c r="P600" s="4"/>
    </row>
    <row r="601" spans="2:16" s="15" customFormat="1" ht="63" x14ac:dyDescent="0.25">
      <c r="B601" s="12">
        <v>422</v>
      </c>
      <c r="C601" s="12" t="str">
        <f>"1-15/NOS-89/13"</f>
        <v>1-15/NOS-89/13</v>
      </c>
      <c r="D601" s="12" t="s">
        <v>362</v>
      </c>
      <c r="E601" s="12" t="s">
        <v>690</v>
      </c>
      <c r="F601" s="12" t="s">
        <v>993</v>
      </c>
      <c r="G601" s="12" t="str">
        <f>"1-15/NOS-89/13"</f>
        <v>1-15/NOS-89/13</v>
      </c>
      <c r="H601" s="12" t="str">
        <f t="shared" si="7"/>
        <v>Ugovor na temelju okvirnog sporazuma</v>
      </c>
      <c r="I601" s="12" t="s">
        <v>19</v>
      </c>
      <c r="J601" s="13" t="str">
        <f>"511.717,50"</f>
        <v>511.717,50</v>
      </c>
      <c r="K601" s="12" t="s">
        <v>203</v>
      </c>
      <c r="L601" s="12" t="s">
        <v>736</v>
      </c>
      <c r="M601" s="12" t="s">
        <v>462</v>
      </c>
      <c r="N601" s="12" t="s">
        <v>23</v>
      </c>
      <c r="O601" s="13" t="str">
        <f>"511.717,50"</f>
        <v>511.717,50</v>
      </c>
      <c r="P601" s="14"/>
    </row>
    <row r="602" spans="2:16" ht="63" x14ac:dyDescent="0.25">
      <c r="B602" s="2">
        <v>423</v>
      </c>
      <c r="C602" s="2" t="str">
        <f>"1-15/NOS-111/14"</f>
        <v>1-15/NOS-111/14</v>
      </c>
      <c r="D602" s="2" t="s">
        <v>16</v>
      </c>
      <c r="E602" s="2" t="s">
        <v>690</v>
      </c>
      <c r="F602" s="2" t="s">
        <v>994</v>
      </c>
      <c r="G602" s="2" t="str">
        <f>"1-15/NOS-111/14"</f>
        <v>1-15/NOS-111/14</v>
      </c>
      <c r="H602" s="2" t="str">
        <f t="shared" si="7"/>
        <v>Ugovor na temelju okvirnog sporazuma</v>
      </c>
      <c r="I602" s="2" t="s">
        <v>19</v>
      </c>
      <c r="J602" s="3" t="str">
        <f>"4.332.500,00"</f>
        <v>4.332.500,00</v>
      </c>
      <c r="K602" s="2" t="s">
        <v>203</v>
      </c>
      <c r="L602" s="2" t="s">
        <v>408</v>
      </c>
      <c r="M602" s="2" t="s">
        <v>27</v>
      </c>
      <c r="N602" s="2" t="str">
        <f>"30.12.2015"</f>
        <v>30.12.2015</v>
      </c>
      <c r="O602" s="3" t="str">
        <f>"3.628.510,68"</f>
        <v>3.628.510,68</v>
      </c>
      <c r="P602" s="4"/>
    </row>
    <row r="603" spans="2:16" ht="15.75" x14ac:dyDescent="0.25">
      <c r="B603" s="36">
        <v>424</v>
      </c>
      <c r="C603" s="36" t="str">
        <f>"9-15/NOS-116-C/11"</f>
        <v>9-15/NOS-116-C/11</v>
      </c>
      <c r="D603" s="36" t="s">
        <v>16</v>
      </c>
      <c r="E603" s="36" t="s">
        <v>690</v>
      </c>
      <c r="F603" s="36" t="s">
        <v>995</v>
      </c>
      <c r="G603" s="36" t="str">
        <f>"9-15/NOS-116-C/11"</f>
        <v>9-15/NOS-116-C/11</v>
      </c>
      <c r="H603" s="36" t="str">
        <f t="shared" si="7"/>
        <v>Ugovor na temelju okvirnog sporazuma</v>
      </c>
      <c r="I603" s="36" t="s">
        <v>19</v>
      </c>
      <c r="J603" s="38" t="str">
        <f>"304.500,00"</f>
        <v>304.500,00</v>
      </c>
      <c r="K603" s="36" t="s">
        <v>203</v>
      </c>
      <c r="L603" s="36" t="s">
        <v>736</v>
      </c>
      <c r="M603" s="36" t="s">
        <v>832</v>
      </c>
      <c r="N603" s="36" t="str">
        <f>"10.11.2015"</f>
        <v>10.11.2015</v>
      </c>
      <c r="O603" s="38" t="str">
        <f>"221.657,83"</f>
        <v>221.657,83</v>
      </c>
      <c r="P603" s="6"/>
    </row>
    <row r="604" spans="2:16" ht="15.75" x14ac:dyDescent="0.25">
      <c r="B604" s="37"/>
      <c r="C604" s="37"/>
      <c r="D604" s="37"/>
      <c r="E604" s="37"/>
      <c r="F604" s="37"/>
      <c r="G604" s="37"/>
      <c r="H604" s="37"/>
      <c r="I604" s="37"/>
      <c r="J604" s="39"/>
      <c r="K604" s="37"/>
      <c r="L604" s="37"/>
      <c r="M604" s="37"/>
      <c r="N604" s="37"/>
      <c r="O604" s="39"/>
      <c r="P604" s="8"/>
    </row>
    <row r="605" spans="2:16" ht="63" x14ac:dyDescent="0.25">
      <c r="B605" s="2">
        <v>425</v>
      </c>
      <c r="C605" s="2" t="str">
        <f>"2-15/NOS-11/15"</f>
        <v>2-15/NOS-11/15</v>
      </c>
      <c r="D605" s="2" t="s">
        <v>16</v>
      </c>
      <c r="E605" s="2" t="s">
        <v>690</v>
      </c>
      <c r="F605" s="2" t="s">
        <v>996</v>
      </c>
      <c r="G605" s="2" t="str">
        <f>"2-15/NOS-11/15"</f>
        <v>2-15/NOS-11/15</v>
      </c>
      <c r="H605" s="2" t="str">
        <f t="shared" ref="H605:H611" si="8">"Ugovor na temelju okvirnog sporazuma"</f>
        <v>Ugovor na temelju okvirnog sporazuma</v>
      </c>
      <c r="I605" s="2" t="s">
        <v>19</v>
      </c>
      <c r="J605" s="3" t="str">
        <f>"2.925.995,00"</f>
        <v>2.925.995,00</v>
      </c>
      <c r="K605" s="2" t="s">
        <v>203</v>
      </c>
      <c r="L605" s="2" t="s">
        <v>826</v>
      </c>
      <c r="M605" s="2" t="s">
        <v>119</v>
      </c>
      <c r="N605" s="2" t="str">
        <f>"12.01.2016"</f>
        <v>12.01.2016</v>
      </c>
      <c r="O605" s="3" t="str">
        <f>"971.148,46"</f>
        <v>971.148,46</v>
      </c>
      <c r="P605" s="4"/>
    </row>
    <row r="606" spans="2:16" ht="63" x14ac:dyDescent="0.25">
      <c r="B606" s="2">
        <v>426</v>
      </c>
      <c r="C606" s="2" t="str">
        <f>"2-15/NOS-81/13"</f>
        <v>2-15/NOS-81/13</v>
      </c>
      <c r="D606" s="2" t="s">
        <v>16</v>
      </c>
      <c r="E606" s="2" t="s">
        <v>690</v>
      </c>
      <c r="F606" s="2" t="s">
        <v>997</v>
      </c>
      <c r="G606" s="2" t="str">
        <f>"2-15/NOS-81/13"</f>
        <v>2-15/NOS-81/13</v>
      </c>
      <c r="H606" s="2" t="str">
        <f t="shared" si="8"/>
        <v>Ugovor na temelju okvirnog sporazuma</v>
      </c>
      <c r="I606" s="2" t="s">
        <v>19</v>
      </c>
      <c r="J606" s="3" t="str">
        <f>"42.000,00"</f>
        <v>42.000,00</v>
      </c>
      <c r="K606" s="2" t="s">
        <v>203</v>
      </c>
      <c r="L606" s="2" t="s">
        <v>408</v>
      </c>
      <c r="M606" s="2" t="s">
        <v>848</v>
      </c>
      <c r="N606" s="2" t="s">
        <v>23</v>
      </c>
      <c r="O606" s="3" t="str">
        <f>"0,00"</f>
        <v>0,00</v>
      </c>
      <c r="P606" s="4"/>
    </row>
    <row r="607" spans="2:16" ht="78.75" x14ac:dyDescent="0.25">
      <c r="B607" s="2">
        <v>427</v>
      </c>
      <c r="C607" s="2" t="str">
        <f>"1-15/NOS-85/14"</f>
        <v>1-15/NOS-85/14</v>
      </c>
      <c r="D607" s="2" t="s">
        <v>16</v>
      </c>
      <c r="E607" s="2" t="s">
        <v>690</v>
      </c>
      <c r="F607" s="2" t="s">
        <v>998</v>
      </c>
      <c r="G607" s="2" t="str">
        <f>"1-15/NOS-85/14"</f>
        <v>1-15/NOS-85/14</v>
      </c>
      <c r="H607" s="2" t="str">
        <f t="shared" si="8"/>
        <v>Ugovor na temelju okvirnog sporazuma</v>
      </c>
      <c r="I607" s="2" t="s">
        <v>19</v>
      </c>
      <c r="J607" s="3" t="str">
        <f>"258.060,00"</f>
        <v>258.060,00</v>
      </c>
      <c r="K607" s="2" t="s">
        <v>167</v>
      </c>
      <c r="L607" s="2" t="s">
        <v>408</v>
      </c>
      <c r="M607" s="2" t="s">
        <v>999</v>
      </c>
      <c r="N607" s="2" t="str">
        <f>"08.12.2015"</f>
        <v>08.12.2015</v>
      </c>
      <c r="O607" s="3" t="str">
        <f>"258.060,00"</f>
        <v>258.060,00</v>
      </c>
      <c r="P607" s="4"/>
    </row>
    <row r="608" spans="2:16" s="15" customFormat="1" ht="63" x14ac:dyDescent="0.25">
      <c r="B608" s="12">
        <v>428</v>
      </c>
      <c r="C608" s="12" t="str">
        <f>"4-15/NOS-55/15"</f>
        <v>4-15/NOS-55/15</v>
      </c>
      <c r="D608" s="12" t="s">
        <v>362</v>
      </c>
      <c r="E608" s="12" t="s">
        <v>690</v>
      </c>
      <c r="F608" s="12" t="s">
        <v>1000</v>
      </c>
      <c r="G608" s="12" t="str">
        <f>"4-15/NOS-55/15"</f>
        <v>4-15/NOS-55/15</v>
      </c>
      <c r="H608" s="12" t="str">
        <f t="shared" si="8"/>
        <v>Ugovor na temelju okvirnog sporazuma</v>
      </c>
      <c r="I608" s="12" t="s">
        <v>19</v>
      </c>
      <c r="J608" s="13" t="str">
        <f>"364,63"</f>
        <v>364,63</v>
      </c>
      <c r="K608" s="12" t="s">
        <v>985</v>
      </c>
      <c r="L608" s="12" t="s">
        <v>167</v>
      </c>
      <c r="M608" s="12" t="s">
        <v>223</v>
      </c>
      <c r="N608" s="12" t="s">
        <v>23</v>
      </c>
      <c r="O608" s="13" t="str">
        <f>"0,00"</f>
        <v>0,00</v>
      </c>
      <c r="P608" s="14"/>
    </row>
    <row r="609" spans="2:16" ht="63" x14ac:dyDescent="0.25">
      <c r="B609" s="2">
        <v>429</v>
      </c>
      <c r="C609" s="2" t="str">
        <f>"3-15/NOS-55/15"</f>
        <v>3-15/NOS-55/15</v>
      </c>
      <c r="D609" s="2" t="s">
        <v>85</v>
      </c>
      <c r="E609" s="2" t="s">
        <v>690</v>
      </c>
      <c r="F609" s="2" t="s">
        <v>1001</v>
      </c>
      <c r="G609" s="2" t="str">
        <f>"3-15/NOS-55/15"</f>
        <v>3-15/NOS-55/15</v>
      </c>
      <c r="H609" s="2" t="str">
        <f t="shared" si="8"/>
        <v>Ugovor na temelju okvirnog sporazuma</v>
      </c>
      <c r="I609" s="2" t="s">
        <v>19</v>
      </c>
      <c r="J609" s="3" t="str">
        <f>"28.130,36"</f>
        <v>28.130,36</v>
      </c>
      <c r="K609" s="2" t="s">
        <v>216</v>
      </c>
      <c r="L609" s="2" t="s">
        <v>167</v>
      </c>
      <c r="M609" s="2" t="s">
        <v>223</v>
      </c>
      <c r="N609" s="2" t="str">
        <f>"29.12.2015"</f>
        <v>29.12.2015</v>
      </c>
      <c r="O609" s="3" t="str">
        <f>"14.161,15"</f>
        <v>14.161,15</v>
      </c>
      <c r="P609" s="4"/>
    </row>
    <row r="610" spans="2:16" ht="63" x14ac:dyDescent="0.25">
      <c r="B610" s="2">
        <v>430</v>
      </c>
      <c r="C610" s="2" t="str">
        <f>"1-15/NOS-55/15"</f>
        <v>1-15/NOS-55/15</v>
      </c>
      <c r="D610" s="2" t="s">
        <v>85</v>
      </c>
      <c r="E610" s="2" t="s">
        <v>690</v>
      </c>
      <c r="F610" s="2" t="s">
        <v>1002</v>
      </c>
      <c r="G610" s="2" t="str">
        <f>"1-15/NOS-55/15"</f>
        <v>1-15/NOS-55/15</v>
      </c>
      <c r="H610" s="2" t="str">
        <f t="shared" si="8"/>
        <v>Ugovor na temelju okvirnog sporazuma</v>
      </c>
      <c r="I610" s="2" t="s">
        <v>19</v>
      </c>
      <c r="J610" s="3" t="str">
        <f>"936,14"</f>
        <v>936,14</v>
      </c>
      <c r="K610" s="2" t="s">
        <v>216</v>
      </c>
      <c r="L610" s="2" t="s">
        <v>167</v>
      </c>
      <c r="M610" s="2" t="s">
        <v>223</v>
      </c>
      <c r="N610" s="2" t="str">
        <f>"18.09.2015"</f>
        <v>18.09.2015</v>
      </c>
      <c r="O610" s="3" t="str">
        <f>"796,44"</f>
        <v>796,44</v>
      </c>
      <c r="P610" s="4"/>
    </row>
    <row r="611" spans="2:16" ht="15.75" x14ac:dyDescent="0.25">
      <c r="B611" s="36">
        <v>431</v>
      </c>
      <c r="C611" s="36" t="str">
        <f>"477-15/NOS-31-ZGH-A/14"</f>
        <v>477-15/NOS-31-ZGH-A/14</v>
      </c>
      <c r="D611" s="36" t="s">
        <v>16</v>
      </c>
      <c r="E611" s="36" t="s">
        <v>690</v>
      </c>
      <c r="F611" s="36" t="s">
        <v>1003</v>
      </c>
      <c r="G611" s="36" t="str">
        <f>"477-15/NOS-31-ZGH-A/14"</f>
        <v>477-15/NOS-31-ZGH-A/14</v>
      </c>
      <c r="H611" s="36" t="str">
        <f t="shared" si="8"/>
        <v>Ugovor na temelju okvirnog sporazuma</v>
      </c>
      <c r="I611" s="36" t="s">
        <v>19</v>
      </c>
      <c r="J611" s="38" t="str">
        <f>"799.315,54"</f>
        <v>799.315,54</v>
      </c>
      <c r="K611" s="36" t="s">
        <v>353</v>
      </c>
      <c r="L611" s="36" t="s">
        <v>408</v>
      </c>
      <c r="M611" s="36" t="s">
        <v>1004</v>
      </c>
      <c r="N611" s="36" t="str">
        <f>"13.01.2016"</f>
        <v>13.01.2016</v>
      </c>
      <c r="O611" s="38" t="str">
        <f>"371.362,63"</f>
        <v>371.362,63</v>
      </c>
      <c r="P611" s="6"/>
    </row>
    <row r="612" spans="2:16" ht="15.75" x14ac:dyDescent="0.25">
      <c r="B612" s="48"/>
      <c r="C612" s="48"/>
      <c r="D612" s="48"/>
      <c r="E612" s="48"/>
      <c r="F612" s="48"/>
      <c r="G612" s="48"/>
      <c r="H612" s="48"/>
      <c r="I612" s="48"/>
      <c r="J612" s="49"/>
      <c r="K612" s="48"/>
      <c r="L612" s="48"/>
      <c r="M612" s="48"/>
      <c r="N612" s="48"/>
      <c r="O612" s="49"/>
      <c r="P612" s="7"/>
    </row>
    <row r="613" spans="2:16" ht="15.75" x14ac:dyDescent="0.25">
      <c r="B613" s="48"/>
      <c r="C613" s="48"/>
      <c r="D613" s="48"/>
      <c r="E613" s="48"/>
      <c r="F613" s="48"/>
      <c r="G613" s="48"/>
      <c r="H613" s="48"/>
      <c r="I613" s="48"/>
      <c r="J613" s="49"/>
      <c r="K613" s="48"/>
      <c r="L613" s="48"/>
      <c r="M613" s="48"/>
      <c r="N613" s="48"/>
      <c r="O613" s="49"/>
      <c r="P613" s="7"/>
    </row>
    <row r="614" spans="2:16" ht="15.75" x14ac:dyDescent="0.25">
      <c r="B614" s="48"/>
      <c r="C614" s="48"/>
      <c r="D614" s="48"/>
      <c r="E614" s="48"/>
      <c r="F614" s="48"/>
      <c r="G614" s="48"/>
      <c r="H614" s="48"/>
      <c r="I614" s="48"/>
      <c r="J614" s="49"/>
      <c r="K614" s="48"/>
      <c r="L614" s="48"/>
      <c r="M614" s="48"/>
      <c r="N614" s="48"/>
      <c r="O614" s="49"/>
      <c r="P614" s="7"/>
    </row>
    <row r="615" spans="2:16" ht="15.75" x14ac:dyDescent="0.25">
      <c r="B615" s="48"/>
      <c r="C615" s="48"/>
      <c r="D615" s="48"/>
      <c r="E615" s="48"/>
      <c r="F615" s="48"/>
      <c r="G615" s="48"/>
      <c r="H615" s="48"/>
      <c r="I615" s="48"/>
      <c r="J615" s="49"/>
      <c r="K615" s="48"/>
      <c r="L615" s="48"/>
      <c r="M615" s="48"/>
      <c r="N615" s="48"/>
      <c r="O615" s="49"/>
      <c r="P615" s="7"/>
    </row>
    <row r="616" spans="2:16" ht="15" customHeight="1" x14ac:dyDescent="0.25">
      <c r="B616" s="48"/>
      <c r="C616" s="48"/>
      <c r="D616" s="48"/>
      <c r="E616" s="48"/>
      <c r="F616" s="48"/>
      <c r="G616" s="48"/>
      <c r="H616" s="48"/>
      <c r="I616" s="48"/>
      <c r="J616" s="49"/>
      <c r="K616" s="48"/>
      <c r="L616" s="48"/>
      <c r="M616" s="48"/>
      <c r="N616" s="48"/>
      <c r="O616" s="49"/>
      <c r="P616" s="7"/>
    </row>
    <row r="617" spans="2:16" ht="12" hidden="1" customHeight="1" x14ac:dyDescent="0.25">
      <c r="B617" s="48"/>
      <c r="C617" s="48"/>
      <c r="D617" s="48"/>
      <c r="E617" s="48"/>
      <c r="F617" s="48"/>
      <c r="G617" s="48"/>
      <c r="H617" s="48"/>
      <c r="I617" s="48"/>
      <c r="J617" s="49"/>
      <c r="K617" s="48"/>
      <c r="L617" s="48"/>
      <c r="M617" s="48"/>
      <c r="N617" s="48"/>
      <c r="O617" s="49"/>
      <c r="P617" s="7"/>
    </row>
    <row r="618" spans="2:16" ht="15.75" hidden="1" x14ac:dyDescent="0.25">
      <c r="B618" s="48"/>
      <c r="C618" s="48"/>
      <c r="D618" s="48"/>
      <c r="E618" s="48"/>
      <c r="F618" s="48"/>
      <c r="G618" s="48"/>
      <c r="H618" s="48"/>
      <c r="I618" s="48"/>
      <c r="J618" s="49"/>
      <c r="K618" s="48"/>
      <c r="L618" s="48"/>
      <c r="M618" s="48"/>
      <c r="N618" s="48"/>
      <c r="O618" s="49"/>
      <c r="P618" s="7"/>
    </row>
    <row r="619" spans="2:16" ht="15.75" hidden="1" x14ac:dyDescent="0.25">
      <c r="B619" s="37"/>
      <c r="C619" s="37"/>
      <c r="D619" s="37"/>
      <c r="E619" s="37"/>
      <c r="F619" s="37"/>
      <c r="G619" s="37"/>
      <c r="H619" s="37"/>
      <c r="I619" s="37"/>
      <c r="J619" s="39"/>
      <c r="K619" s="37"/>
      <c r="L619" s="37"/>
      <c r="M619" s="37"/>
      <c r="N619" s="37"/>
      <c r="O619" s="39"/>
      <c r="P619" s="8"/>
    </row>
    <row r="620" spans="2:16" ht="63" x14ac:dyDescent="0.25">
      <c r="B620" s="2">
        <v>432</v>
      </c>
      <c r="C620" s="2" t="str">
        <f>"2-15/NOS-89/11"</f>
        <v>2-15/NOS-89/11</v>
      </c>
      <c r="D620" s="2" t="s">
        <v>85</v>
      </c>
      <c r="E620" s="2" t="s">
        <v>690</v>
      </c>
      <c r="F620" s="2" t="s">
        <v>1005</v>
      </c>
      <c r="G620" s="2" t="str">
        <f>"2-15/NOS-89/11"</f>
        <v>2-15/NOS-89/11</v>
      </c>
      <c r="H620" s="2" t="str">
        <f t="shared" ref="H620:H634" si="9">"Ugovor na temelju okvirnog sporazuma"</f>
        <v>Ugovor na temelju okvirnog sporazuma</v>
      </c>
      <c r="I620" s="2" t="s">
        <v>19</v>
      </c>
      <c r="J620" s="3" t="str">
        <f>"207.750,00"</f>
        <v>207.750,00</v>
      </c>
      <c r="K620" s="2" t="s">
        <v>412</v>
      </c>
      <c r="L620" s="2" t="s">
        <v>408</v>
      </c>
      <c r="M620" s="2" t="s">
        <v>1006</v>
      </c>
      <c r="N620" s="2" t="str">
        <f>"04.12.2015"</f>
        <v>04.12.2015</v>
      </c>
      <c r="O620" s="3" t="str">
        <f>"143.175,00"</f>
        <v>143.175,00</v>
      </c>
      <c r="P620" s="4"/>
    </row>
    <row r="621" spans="2:16" ht="63" x14ac:dyDescent="0.25">
      <c r="B621" s="2">
        <v>433</v>
      </c>
      <c r="C621" s="2" t="str">
        <f>"3-15/NOS-140/13"</f>
        <v>3-15/NOS-140/13</v>
      </c>
      <c r="D621" s="2" t="s">
        <v>16</v>
      </c>
      <c r="E621" s="2" t="s">
        <v>690</v>
      </c>
      <c r="F621" s="2" t="s">
        <v>872</v>
      </c>
      <c r="G621" s="2" t="str">
        <f>"3-15/NOS-140/13"</f>
        <v>3-15/NOS-140/13</v>
      </c>
      <c r="H621" s="2" t="str">
        <f t="shared" si="9"/>
        <v>Ugovor na temelju okvirnog sporazuma</v>
      </c>
      <c r="I621" s="2" t="s">
        <v>19</v>
      </c>
      <c r="J621" s="3" t="str">
        <f>"7.734.000,00"</f>
        <v>7.734.000,00</v>
      </c>
      <c r="K621" s="2" t="s">
        <v>570</v>
      </c>
      <c r="L621" s="2" t="s">
        <v>1007</v>
      </c>
      <c r="M621" s="2" t="s">
        <v>209</v>
      </c>
      <c r="N621" s="2" t="str">
        <f>"13.11.2015"</f>
        <v>13.11.2015</v>
      </c>
      <c r="O621" s="3" t="str">
        <f>"7.686.307,00"</f>
        <v>7.686.307,00</v>
      </c>
      <c r="P621" s="4"/>
    </row>
    <row r="622" spans="2:16" ht="63" x14ac:dyDescent="0.25">
      <c r="B622" s="2">
        <v>434</v>
      </c>
      <c r="C622" s="2" t="str">
        <f>"2-15/NOS-169/13"</f>
        <v>2-15/NOS-169/13</v>
      </c>
      <c r="D622" s="2" t="s">
        <v>16</v>
      </c>
      <c r="E622" s="2" t="s">
        <v>690</v>
      </c>
      <c r="F622" s="2" t="s">
        <v>1008</v>
      </c>
      <c r="G622" s="2" t="str">
        <f>"2-15/NOS-169/13"</f>
        <v>2-15/NOS-169/13</v>
      </c>
      <c r="H622" s="2" t="str">
        <f t="shared" si="9"/>
        <v>Ugovor na temelju okvirnog sporazuma</v>
      </c>
      <c r="I622" s="2" t="s">
        <v>19</v>
      </c>
      <c r="J622" s="3" t="str">
        <f>"40.000,00"</f>
        <v>40.000,00</v>
      </c>
      <c r="K622" s="2" t="s">
        <v>360</v>
      </c>
      <c r="L622" s="2" t="s">
        <v>408</v>
      </c>
      <c r="M622" s="2" t="s">
        <v>84</v>
      </c>
      <c r="N622" s="2" t="str">
        <f>"31.12.2015"</f>
        <v>31.12.2015</v>
      </c>
      <c r="O622" s="3" t="str">
        <f>"20.112,00"</f>
        <v>20.112,00</v>
      </c>
      <c r="P622" s="4"/>
    </row>
    <row r="623" spans="2:16" ht="94.5" x14ac:dyDescent="0.25">
      <c r="B623" s="2">
        <v>435</v>
      </c>
      <c r="C623" s="2" t="str">
        <f>"5-15/NOS-102-A-ZGH/14"</f>
        <v>5-15/NOS-102-A-ZGH/14</v>
      </c>
      <c r="D623" s="2" t="s">
        <v>16</v>
      </c>
      <c r="E623" s="2" t="s">
        <v>690</v>
      </c>
      <c r="F623" s="2" t="s">
        <v>1009</v>
      </c>
      <c r="G623" s="2" t="str">
        <f>"5-15/NOS-102-A-ZGH/14"</f>
        <v>5-15/NOS-102-A-ZGH/14</v>
      </c>
      <c r="H623" s="2" t="str">
        <f t="shared" si="9"/>
        <v>Ugovor na temelju okvirnog sporazuma</v>
      </c>
      <c r="I623" s="2" t="s">
        <v>19</v>
      </c>
      <c r="J623" s="3" t="str">
        <f>"764.380,00"</f>
        <v>764.380,00</v>
      </c>
      <c r="K623" s="2" t="s">
        <v>225</v>
      </c>
      <c r="L623" s="2" t="s">
        <v>974</v>
      </c>
      <c r="M623" s="2" t="s">
        <v>384</v>
      </c>
      <c r="N623" s="2" t="str">
        <f>"03.11.2015"</f>
        <v>03.11.2015</v>
      </c>
      <c r="O623" s="3" t="str">
        <f>"159.557,00"</f>
        <v>159.557,00</v>
      </c>
      <c r="P623" s="4"/>
    </row>
    <row r="624" spans="2:16" ht="94.5" x14ac:dyDescent="0.25">
      <c r="B624" s="2">
        <v>436</v>
      </c>
      <c r="C624" s="2" t="str">
        <f>"3-15/NOS-102-A-ZGH/14"</f>
        <v>3-15/NOS-102-A-ZGH/14</v>
      </c>
      <c r="D624" s="2" t="s">
        <v>362</v>
      </c>
      <c r="E624" s="2" t="s">
        <v>690</v>
      </c>
      <c r="F624" s="2" t="s">
        <v>1010</v>
      </c>
      <c r="G624" s="2" t="str">
        <f>"3-15/NOS-102-A-ZGH/14"</f>
        <v>3-15/NOS-102-A-ZGH/14</v>
      </c>
      <c r="H624" s="2" t="str">
        <f t="shared" si="9"/>
        <v>Ugovor na temelju okvirnog sporazuma</v>
      </c>
      <c r="I624" s="2" t="s">
        <v>19</v>
      </c>
      <c r="J624" s="3" t="str">
        <f>"49.560,00"</f>
        <v>49.560,00</v>
      </c>
      <c r="K624" s="2" t="s">
        <v>301</v>
      </c>
      <c r="L624" s="2" t="s">
        <v>974</v>
      </c>
      <c r="M624" s="2" t="s">
        <v>384</v>
      </c>
      <c r="N624" s="2" t="s">
        <v>23</v>
      </c>
      <c r="O624" s="3" t="str">
        <f>"0,00"</f>
        <v>0,00</v>
      </c>
      <c r="P624" s="4"/>
    </row>
    <row r="625" spans="2:16" ht="63" x14ac:dyDescent="0.25">
      <c r="B625" s="2">
        <v>437</v>
      </c>
      <c r="C625" s="2" t="str">
        <f>"5-15/NOS-55/15"</f>
        <v>5-15/NOS-55/15</v>
      </c>
      <c r="D625" s="2" t="s">
        <v>16</v>
      </c>
      <c r="E625" s="2" t="s">
        <v>690</v>
      </c>
      <c r="F625" s="2" t="s">
        <v>1011</v>
      </c>
      <c r="G625" s="2" t="str">
        <f>"5-15/NOS-55/15"</f>
        <v>5-15/NOS-55/15</v>
      </c>
      <c r="H625" s="2" t="str">
        <f t="shared" si="9"/>
        <v>Ugovor na temelju okvirnog sporazuma</v>
      </c>
      <c r="I625" s="2" t="s">
        <v>19</v>
      </c>
      <c r="J625" s="3" t="str">
        <f>"1.062,13"</f>
        <v>1.062,13</v>
      </c>
      <c r="K625" s="2" t="s">
        <v>216</v>
      </c>
      <c r="L625" s="2" t="s">
        <v>167</v>
      </c>
      <c r="M625" s="2" t="s">
        <v>223</v>
      </c>
      <c r="N625" s="2" t="str">
        <f>"04.08.2015"</f>
        <v>04.08.2015</v>
      </c>
      <c r="O625" s="3" t="str">
        <f>"1.062,13"</f>
        <v>1.062,13</v>
      </c>
      <c r="P625" s="4"/>
    </row>
    <row r="626" spans="2:16" ht="63" x14ac:dyDescent="0.25">
      <c r="B626" s="2">
        <v>438</v>
      </c>
      <c r="C626" s="2" t="str">
        <f>"6-15/NOS-55/15"</f>
        <v>6-15/NOS-55/15</v>
      </c>
      <c r="D626" s="2" t="s">
        <v>16</v>
      </c>
      <c r="E626" s="2" t="s">
        <v>690</v>
      </c>
      <c r="F626" s="2" t="s">
        <v>1012</v>
      </c>
      <c r="G626" s="2" t="str">
        <f>"6-15/NOS-55/15"</f>
        <v>6-15/NOS-55/15</v>
      </c>
      <c r="H626" s="2" t="str">
        <f t="shared" si="9"/>
        <v>Ugovor na temelju okvirnog sporazuma</v>
      </c>
      <c r="I626" s="2" t="s">
        <v>19</v>
      </c>
      <c r="J626" s="3" t="str">
        <f>"8.111,35"</f>
        <v>8.111,35</v>
      </c>
      <c r="K626" s="2" t="s">
        <v>216</v>
      </c>
      <c r="L626" s="2" t="s">
        <v>167</v>
      </c>
      <c r="M626" s="2" t="s">
        <v>223</v>
      </c>
      <c r="N626" s="2" t="str">
        <f>"15.12.2015"</f>
        <v>15.12.2015</v>
      </c>
      <c r="O626" s="3" t="str">
        <f>"5.724,85"</f>
        <v>5.724,85</v>
      </c>
      <c r="P626" s="4"/>
    </row>
    <row r="627" spans="2:16" ht="110.25" x14ac:dyDescent="0.25">
      <c r="B627" s="2">
        <v>439</v>
      </c>
      <c r="C627" s="2" t="str">
        <f>"7-15/NOS-55/15"</f>
        <v>7-15/NOS-55/15</v>
      </c>
      <c r="D627" s="2" t="s">
        <v>16</v>
      </c>
      <c r="E627" s="2" t="s">
        <v>690</v>
      </c>
      <c r="F627" s="2" t="s">
        <v>1013</v>
      </c>
      <c r="G627" s="2" t="str">
        <f>"7-15/NOS-55/15"</f>
        <v>7-15/NOS-55/15</v>
      </c>
      <c r="H627" s="2" t="str">
        <f t="shared" si="9"/>
        <v>Ugovor na temelju okvirnog sporazuma</v>
      </c>
      <c r="I627" s="2" t="s">
        <v>19</v>
      </c>
      <c r="J627" s="3" t="str">
        <f>"11.917,52"</f>
        <v>11.917,52</v>
      </c>
      <c r="K627" s="2" t="s">
        <v>216</v>
      </c>
      <c r="L627" s="2" t="s">
        <v>167</v>
      </c>
      <c r="M627" s="2" t="s">
        <v>223</v>
      </c>
      <c r="N627" s="2" t="str">
        <f>"16.09.2015"</f>
        <v>16.09.2015</v>
      </c>
      <c r="O627" s="3" t="str">
        <f>"11.814,94"</f>
        <v>11.814,94</v>
      </c>
      <c r="P627" s="4"/>
    </row>
    <row r="628" spans="2:16" s="15" customFormat="1" ht="78.75" x14ac:dyDescent="0.25">
      <c r="B628" s="12">
        <v>440</v>
      </c>
      <c r="C628" s="12" t="str">
        <f>"8-15/NOS-55/15"</f>
        <v>8-15/NOS-55/15</v>
      </c>
      <c r="D628" s="12" t="s">
        <v>16</v>
      </c>
      <c r="E628" s="12" t="s">
        <v>690</v>
      </c>
      <c r="F628" s="12" t="s">
        <v>1014</v>
      </c>
      <c r="G628" s="12" t="str">
        <f>"8-15/NOS-55/15"</f>
        <v>8-15/NOS-55/15</v>
      </c>
      <c r="H628" s="12" t="str">
        <f t="shared" si="9"/>
        <v>Ugovor na temelju okvirnog sporazuma</v>
      </c>
      <c r="I628" s="12" t="s">
        <v>19</v>
      </c>
      <c r="J628" s="13" t="str">
        <f>"983,54"</f>
        <v>983,54</v>
      </c>
      <c r="K628" s="12" t="s">
        <v>216</v>
      </c>
      <c r="L628" s="12" t="s">
        <v>167</v>
      </c>
      <c r="M628" s="12" t="s">
        <v>223</v>
      </c>
      <c r="N628" s="12" t="s">
        <v>23</v>
      </c>
      <c r="O628" s="13" t="str">
        <f>"0,00"</f>
        <v>0,00</v>
      </c>
      <c r="P628" s="14"/>
    </row>
    <row r="629" spans="2:16" ht="63" x14ac:dyDescent="0.25">
      <c r="B629" s="2">
        <v>441</v>
      </c>
      <c r="C629" s="2" t="str">
        <f>"3-15/NOS-107/11"</f>
        <v>3-15/NOS-107/11</v>
      </c>
      <c r="D629" s="2" t="s">
        <v>362</v>
      </c>
      <c r="E629" s="2" t="s">
        <v>690</v>
      </c>
      <c r="F629" s="2" t="s">
        <v>1015</v>
      </c>
      <c r="G629" s="2" t="str">
        <f>"3-15/NOS-107/11"</f>
        <v>3-15/NOS-107/11</v>
      </c>
      <c r="H629" s="2" t="str">
        <f t="shared" si="9"/>
        <v>Ugovor na temelju okvirnog sporazuma</v>
      </c>
      <c r="I629" s="2" t="s">
        <v>19</v>
      </c>
      <c r="J629" s="3" t="str">
        <f>"10.182,96"</f>
        <v>10.182,96</v>
      </c>
      <c r="K629" s="2" t="s">
        <v>232</v>
      </c>
      <c r="L629" s="2" t="s">
        <v>1016</v>
      </c>
      <c r="M629" s="2" t="s">
        <v>1017</v>
      </c>
      <c r="N629" s="2" t="s">
        <v>23</v>
      </c>
      <c r="O629" s="3" t="str">
        <f>"0,00"</f>
        <v>0,00</v>
      </c>
      <c r="P629" s="4"/>
    </row>
    <row r="630" spans="2:16" ht="63" x14ac:dyDescent="0.25">
      <c r="B630" s="2">
        <v>442</v>
      </c>
      <c r="C630" s="2" t="str">
        <f>"2-15/NOS-107/11"</f>
        <v>2-15/NOS-107/11</v>
      </c>
      <c r="D630" s="2" t="s">
        <v>707</v>
      </c>
      <c r="E630" s="2" t="s">
        <v>690</v>
      </c>
      <c r="F630" s="2" t="s">
        <v>1018</v>
      </c>
      <c r="G630" s="2" t="str">
        <f>"2-15/NOS-107/11"</f>
        <v>2-15/NOS-107/11</v>
      </c>
      <c r="H630" s="2" t="str">
        <f t="shared" si="9"/>
        <v>Ugovor na temelju okvirnog sporazuma</v>
      </c>
      <c r="I630" s="2" t="s">
        <v>19</v>
      </c>
      <c r="J630" s="3" t="str">
        <f>"4.108,32"</f>
        <v>4.108,32</v>
      </c>
      <c r="K630" s="2" t="s">
        <v>232</v>
      </c>
      <c r="L630" s="2" t="s">
        <v>1016</v>
      </c>
      <c r="M630" s="2" t="s">
        <v>1017</v>
      </c>
      <c r="N630" s="2" t="str">
        <f>"13.01.2016"</f>
        <v>13.01.2016</v>
      </c>
      <c r="O630" s="3" t="str">
        <f>"2.613,99"</f>
        <v>2.613,99</v>
      </c>
      <c r="P630" s="4"/>
    </row>
    <row r="631" spans="2:16" ht="63" x14ac:dyDescent="0.25">
      <c r="B631" s="2">
        <v>443</v>
      </c>
      <c r="C631" s="2" t="str">
        <f>"4-15/NOS-107/11"</f>
        <v>4-15/NOS-107/11</v>
      </c>
      <c r="D631" s="2" t="s">
        <v>85</v>
      </c>
      <c r="E631" s="2" t="s">
        <v>690</v>
      </c>
      <c r="F631" s="2" t="s">
        <v>1019</v>
      </c>
      <c r="G631" s="2" t="str">
        <f>"4-15/NOS-107/11"</f>
        <v>4-15/NOS-107/11</v>
      </c>
      <c r="H631" s="2" t="str">
        <f t="shared" si="9"/>
        <v>Ugovor na temelju okvirnog sporazuma</v>
      </c>
      <c r="I631" s="2" t="s">
        <v>19</v>
      </c>
      <c r="J631" s="3" t="str">
        <f>"91.144,32"</f>
        <v>91.144,32</v>
      </c>
      <c r="K631" s="2" t="s">
        <v>232</v>
      </c>
      <c r="L631" s="2" t="s">
        <v>1016</v>
      </c>
      <c r="M631" s="2" t="s">
        <v>1017</v>
      </c>
      <c r="N631" s="2" t="s">
        <v>23</v>
      </c>
      <c r="O631" s="3" t="str">
        <f>"0,00"</f>
        <v>0,00</v>
      </c>
      <c r="P631" s="4"/>
    </row>
    <row r="632" spans="2:16" ht="63" x14ac:dyDescent="0.25">
      <c r="B632" s="2">
        <v>444</v>
      </c>
      <c r="C632" s="2" t="str">
        <f>"3-15/NOS-103/11"</f>
        <v>3-15/NOS-103/11</v>
      </c>
      <c r="D632" s="2" t="s">
        <v>16</v>
      </c>
      <c r="E632" s="2" t="s">
        <v>690</v>
      </c>
      <c r="F632" s="2" t="s">
        <v>1020</v>
      </c>
      <c r="G632" s="2" t="str">
        <f>"3-15/NOS-103/11"</f>
        <v>3-15/NOS-103/11</v>
      </c>
      <c r="H632" s="2" t="str">
        <f t="shared" si="9"/>
        <v>Ugovor na temelju okvirnog sporazuma</v>
      </c>
      <c r="I632" s="2" t="s">
        <v>19</v>
      </c>
      <c r="J632" s="3" t="str">
        <f>"157.420,00"</f>
        <v>157.420,00</v>
      </c>
      <c r="K632" s="2" t="s">
        <v>263</v>
      </c>
      <c r="L632" s="2" t="s">
        <v>408</v>
      </c>
      <c r="M632" s="2" t="s">
        <v>1021</v>
      </c>
      <c r="N632" s="2" t="str">
        <f>"16.09.2015"</f>
        <v>16.09.2015</v>
      </c>
      <c r="O632" s="3" t="str">
        <f>"16.400,00"</f>
        <v>16.400,00</v>
      </c>
      <c r="P632" s="4"/>
    </row>
    <row r="633" spans="2:16" ht="63" x14ac:dyDescent="0.25">
      <c r="B633" s="2">
        <v>445</v>
      </c>
      <c r="C633" s="2" t="str">
        <f>"13-15/NOS-24-ZGH/14"</f>
        <v>13-15/NOS-24-ZGH/14</v>
      </c>
      <c r="D633" s="2" t="s">
        <v>16</v>
      </c>
      <c r="E633" s="2" t="s">
        <v>690</v>
      </c>
      <c r="F633" s="2" t="s">
        <v>1022</v>
      </c>
      <c r="G633" s="2" t="str">
        <f>"13-15/NOS-24-ZGH/14"</f>
        <v>13-15/NOS-24-ZGH/14</v>
      </c>
      <c r="H633" s="2" t="str">
        <f t="shared" si="9"/>
        <v>Ugovor na temelju okvirnog sporazuma</v>
      </c>
      <c r="I633" s="2" t="s">
        <v>19</v>
      </c>
      <c r="J633" s="3" t="str">
        <f>"28.500,00"</f>
        <v>28.500,00</v>
      </c>
      <c r="K633" s="2" t="s">
        <v>225</v>
      </c>
      <c r="L633" s="2" t="s">
        <v>408</v>
      </c>
      <c r="M633" s="2" t="s">
        <v>836</v>
      </c>
      <c r="N633" s="2" t="str">
        <f>"07.01.2016"</f>
        <v>07.01.2016</v>
      </c>
      <c r="O633" s="3" t="str">
        <f>"16.812,00"</f>
        <v>16.812,00</v>
      </c>
      <c r="P633" s="4"/>
    </row>
    <row r="634" spans="2:16" ht="15.75" x14ac:dyDescent="0.25">
      <c r="B634" s="36">
        <v>446</v>
      </c>
      <c r="C634" s="36" t="str">
        <f>"38-15/NOS-31-ZGH-B/14"</f>
        <v>38-15/NOS-31-ZGH-B/14</v>
      </c>
      <c r="D634" s="36" t="s">
        <v>16</v>
      </c>
      <c r="E634" s="36" t="s">
        <v>690</v>
      </c>
      <c r="F634" s="36" t="s">
        <v>1023</v>
      </c>
      <c r="G634" s="36" t="str">
        <f>"38-15/NOS-31-ZGH-B/14"</f>
        <v>38-15/NOS-31-ZGH-B/14</v>
      </c>
      <c r="H634" s="36" t="str">
        <f t="shared" si="9"/>
        <v>Ugovor na temelju okvirnog sporazuma</v>
      </c>
      <c r="I634" s="36" t="s">
        <v>19</v>
      </c>
      <c r="J634" s="38" t="str">
        <f>"432.169,63"</f>
        <v>432.169,63</v>
      </c>
      <c r="K634" s="36" t="s">
        <v>225</v>
      </c>
      <c r="L634" s="36" t="s">
        <v>408</v>
      </c>
      <c r="M634" s="36" t="s">
        <v>1024</v>
      </c>
      <c r="N634" s="36" t="str">
        <f>"28.10.2015"</f>
        <v>28.10.2015</v>
      </c>
      <c r="O634" s="38" t="str">
        <f>"152.604,48"</f>
        <v>152.604,48</v>
      </c>
      <c r="P634" s="6"/>
    </row>
    <row r="635" spans="2:16" ht="15.75" x14ac:dyDescent="0.25">
      <c r="B635" s="48"/>
      <c r="C635" s="48"/>
      <c r="D635" s="48"/>
      <c r="E635" s="48"/>
      <c r="F635" s="48"/>
      <c r="G635" s="48"/>
      <c r="H635" s="48"/>
      <c r="I635" s="48"/>
      <c r="J635" s="49"/>
      <c r="K635" s="48"/>
      <c r="L635" s="48"/>
      <c r="M635" s="48"/>
      <c r="N635" s="48"/>
      <c r="O635" s="49"/>
      <c r="P635" s="7"/>
    </row>
    <row r="636" spans="2:16" ht="15.75" x14ac:dyDescent="0.25">
      <c r="B636" s="48"/>
      <c r="C636" s="48"/>
      <c r="D636" s="48"/>
      <c r="E636" s="48"/>
      <c r="F636" s="48"/>
      <c r="G636" s="48"/>
      <c r="H636" s="48"/>
      <c r="I636" s="48"/>
      <c r="J636" s="49"/>
      <c r="K636" s="48"/>
      <c r="L636" s="48"/>
      <c r="M636" s="48"/>
      <c r="N636" s="48"/>
      <c r="O636" s="49"/>
      <c r="P636" s="7"/>
    </row>
    <row r="637" spans="2:16" ht="15.75" x14ac:dyDescent="0.25">
      <c r="B637" s="48"/>
      <c r="C637" s="48"/>
      <c r="D637" s="48"/>
      <c r="E637" s="48"/>
      <c r="F637" s="48"/>
      <c r="G637" s="48"/>
      <c r="H637" s="48"/>
      <c r="I637" s="48"/>
      <c r="J637" s="49"/>
      <c r="K637" s="48"/>
      <c r="L637" s="48"/>
      <c r="M637" s="48"/>
      <c r="N637" s="48"/>
      <c r="O637" s="49"/>
      <c r="P637" s="7"/>
    </row>
    <row r="638" spans="2:16" ht="15.75" x14ac:dyDescent="0.25">
      <c r="B638" s="48"/>
      <c r="C638" s="48"/>
      <c r="D638" s="48"/>
      <c r="E638" s="48"/>
      <c r="F638" s="48"/>
      <c r="G638" s="48"/>
      <c r="H638" s="48"/>
      <c r="I638" s="48"/>
      <c r="J638" s="49"/>
      <c r="K638" s="48"/>
      <c r="L638" s="48"/>
      <c r="M638" s="48"/>
      <c r="N638" s="48"/>
      <c r="O638" s="49"/>
      <c r="P638" s="7"/>
    </row>
    <row r="639" spans="2:16" ht="15.75" x14ac:dyDescent="0.25">
      <c r="B639" s="37"/>
      <c r="C639" s="37"/>
      <c r="D639" s="37"/>
      <c r="E639" s="37"/>
      <c r="F639" s="37"/>
      <c r="G639" s="37"/>
      <c r="H639" s="37"/>
      <c r="I639" s="37"/>
      <c r="J639" s="39"/>
      <c r="K639" s="37"/>
      <c r="L639" s="37"/>
      <c r="M639" s="37"/>
      <c r="N639" s="37"/>
      <c r="O639" s="39"/>
      <c r="P639" s="8"/>
    </row>
    <row r="640" spans="2:16" s="15" customFormat="1" ht="63" x14ac:dyDescent="0.25">
      <c r="B640" s="12">
        <v>447</v>
      </c>
      <c r="C640" s="12" t="str">
        <f>"2-15/NOS-12-B/14"</f>
        <v>2-15/NOS-12-B/14</v>
      </c>
      <c r="D640" s="12" t="s">
        <v>16</v>
      </c>
      <c r="E640" s="12" t="s">
        <v>690</v>
      </c>
      <c r="F640" s="12" t="s">
        <v>938</v>
      </c>
      <c r="G640" s="12" t="str">
        <f>"2-15/NOS-12-B/14"</f>
        <v>2-15/NOS-12-B/14</v>
      </c>
      <c r="H640" s="12" t="str">
        <f>"Ugovor na temelju okvirnog sporazuma"</f>
        <v>Ugovor na temelju okvirnog sporazuma</v>
      </c>
      <c r="I640" s="12" t="s">
        <v>19</v>
      </c>
      <c r="J640" s="13" t="str">
        <f>"801.000,00"</f>
        <v>801.000,00</v>
      </c>
      <c r="K640" s="12" t="s">
        <v>225</v>
      </c>
      <c r="L640" s="12" t="s">
        <v>526</v>
      </c>
      <c r="M640" s="12" t="s">
        <v>939</v>
      </c>
      <c r="N640" s="12" t="s">
        <v>23</v>
      </c>
      <c r="O640" s="13" t="str">
        <f>"0,00"</f>
        <v>0,00</v>
      </c>
      <c r="P640" s="14"/>
    </row>
    <row r="641" spans="2:16" s="15" customFormat="1" ht="63" x14ac:dyDescent="0.25">
      <c r="B641" s="12">
        <v>448</v>
      </c>
      <c r="C641" s="12" t="str">
        <f>"2-15/NOS-195-A/13"</f>
        <v>2-15/NOS-195-A/13</v>
      </c>
      <c r="D641" s="12" t="s">
        <v>85</v>
      </c>
      <c r="E641" s="12" t="s">
        <v>690</v>
      </c>
      <c r="F641" s="12" t="s">
        <v>1025</v>
      </c>
      <c r="G641" s="12" t="str">
        <f>"2-15/NOS-195-A/13"</f>
        <v>2-15/NOS-195-A/13</v>
      </c>
      <c r="H641" s="12" t="str">
        <f>"Ugovor na temelju okvirnog sporazuma"</f>
        <v>Ugovor na temelju okvirnog sporazuma</v>
      </c>
      <c r="I641" s="12" t="s">
        <v>19</v>
      </c>
      <c r="J641" s="13" t="str">
        <f>"2.437.432,37"</f>
        <v>2.437.432,37</v>
      </c>
      <c r="K641" s="12" t="s">
        <v>232</v>
      </c>
      <c r="L641" s="12" t="s">
        <v>448</v>
      </c>
      <c r="M641" s="12" t="s">
        <v>704</v>
      </c>
      <c r="N641" s="12" t="s">
        <v>23</v>
      </c>
      <c r="O641" s="22">
        <v>971133.05</v>
      </c>
      <c r="P641" s="14"/>
    </row>
    <row r="642" spans="2:16" s="15" customFormat="1" ht="63" x14ac:dyDescent="0.25">
      <c r="B642" s="12">
        <v>449</v>
      </c>
      <c r="C642" s="12" t="str">
        <f>"5-15/NOS-195-A/13"</f>
        <v>5-15/NOS-195-A/13</v>
      </c>
      <c r="D642" s="12" t="s">
        <v>356</v>
      </c>
      <c r="E642" s="12" t="s">
        <v>690</v>
      </c>
      <c r="F642" s="12" t="s">
        <v>1026</v>
      </c>
      <c r="G642" s="12" t="str">
        <f>"5-15/NOS-195-A/13"</f>
        <v>5-15/NOS-195-A/13</v>
      </c>
      <c r="H642" s="12" t="str">
        <f>"Ugovor na temelju okvirnog sporazuma"</f>
        <v>Ugovor na temelju okvirnog sporazuma</v>
      </c>
      <c r="I642" s="12" t="s">
        <v>19</v>
      </c>
      <c r="J642" s="13" t="str">
        <f>"290.061,71"</f>
        <v>290.061,71</v>
      </c>
      <c r="K642" s="12" t="s">
        <v>232</v>
      </c>
      <c r="L642" s="12" t="s">
        <v>448</v>
      </c>
      <c r="M642" s="12" t="s">
        <v>704</v>
      </c>
      <c r="N642" s="12" t="s">
        <v>23</v>
      </c>
      <c r="O642" s="22">
        <v>30974.45</v>
      </c>
      <c r="P642" s="14"/>
    </row>
    <row r="643" spans="2:16" ht="63" x14ac:dyDescent="0.25">
      <c r="B643" s="2">
        <v>450</v>
      </c>
      <c r="C643" s="2" t="str">
        <f>"5-15/NOS-112/14"</f>
        <v>5-15/NOS-112/14</v>
      </c>
      <c r="D643" s="2" t="s">
        <v>16</v>
      </c>
      <c r="E643" s="2" t="s">
        <v>690</v>
      </c>
      <c r="F643" s="2" t="s">
        <v>1027</v>
      </c>
      <c r="G643" s="2" t="str">
        <f>"5-15/NOS-112/14"</f>
        <v>5-15/NOS-112/14</v>
      </c>
      <c r="H643" s="2" t="str">
        <f>"Ugovor na temelju okvirnog sporazuma"</f>
        <v>Ugovor na temelju okvirnog sporazuma</v>
      </c>
      <c r="I643" s="2" t="s">
        <v>19</v>
      </c>
      <c r="J643" s="3" t="str">
        <f>"548.550,00"</f>
        <v>548.550,00</v>
      </c>
      <c r="K643" s="2" t="s">
        <v>225</v>
      </c>
      <c r="L643" s="2" t="s">
        <v>1028</v>
      </c>
      <c r="M643" s="2" t="s">
        <v>80</v>
      </c>
      <c r="N643" s="2" t="str">
        <f>"12.01.2016"</f>
        <v>12.01.2016</v>
      </c>
      <c r="O643" s="3" t="str">
        <f>"117.200,00"</f>
        <v>117.200,00</v>
      </c>
      <c r="P643" s="4"/>
    </row>
    <row r="644" spans="2:16" ht="15.75" x14ac:dyDescent="0.25">
      <c r="B644" s="36">
        <v>451</v>
      </c>
      <c r="C644" s="36" t="str">
        <f>"131-15/NOS-7-C/14"</f>
        <v>131-15/NOS-7-C/14</v>
      </c>
      <c r="D644" s="36" t="s">
        <v>16</v>
      </c>
      <c r="E644" s="36" t="s">
        <v>690</v>
      </c>
      <c r="F644" s="36" t="s">
        <v>1029</v>
      </c>
      <c r="G644" s="36" t="str">
        <f>"131-15/NOS-7-C/14"</f>
        <v>131-15/NOS-7-C/14</v>
      </c>
      <c r="H644" s="36" t="str">
        <f>"Ugovor na temelju okvirnog sporazuma"</f>
        <v>Ugovor na temelju okvirnog sporazuma</v>
      </c>
      <c r="I644" s="36" t="s">
        <v>19</v>
      </c>
      <c r="J644" s="38" t="str">
        <f>"175.313,50"</f>
        <v>175.313,50</v>
      </c>
      <c r="K644" s="36" t="s">
        <v>225</v>
      </c>
      <c r="L644" s="36" t="s">
        <v>408</v>
      </c>
      <c r="M644" s="36" t="s">
        <v>1030</v>
      </c>
      <c r="N644" s="36" t="str">
        <f>"12.01.2016"</f>
        <v>12.01.2016</v>
      </c>
      <c r="O644" s="38" t="str">
        <f>"103.822,02"</f>
        <v>103.822,02</v>
      </c>
      <c r="P644" s="6"/>
    </row>
    <row r="645" spans="2:16" ht="15.75" x14ac:dyDescent="0.25">
      <c r="B645" s="48"/>
      <c r="C645" s="48"/>
      <c r="D645" s="48"/>
      <c r="E645" s="48"/>
      <c r="F645" s="48"/>
      <c r="G645" s="48"/>
      <c r="H645" s="48"/>
      <c r="I645" s="48"/>
      <c r="J645" s="49"/>
      <c r="K645" s="48"/>
      <c r="L645" s="48"/>
      <c r="M645" s="48"/>
      <c r="N645" s="48"/>
      <c r="O645" s="49"/>
      <c r="P645" s="7"/>
    </row>
    <row r="646" spans="2:16" ht="15.75" x14ac:dyDescent="0.25">
      <c r="B646" s="37"/>
      <c r="C646" s="37"/>
      <c r="D646" s="37"/>
      <c r="E646" s="37"/>
      <c r="F646" s="37"/>
      <c r="G646" s="37"/>
      <c r="H646" s="37"/>
      <c r="I646" s="37"/>
      <c r="J646" s="39"/>
      <c r="K646" s="37"/>
      <c r="L646" s="37"/>
      <c r="M646" s="37"/>
      <c r="N646" s="37"/>
      <c r="O646" s="39"/>
      <c r="P646" s="8"/>
    </row>
    <row r="647" spans="2:16" ht="15.75" x14ac:dyDescent="0.25">
      <c r="B647" s="36">
        <v>452</v>
      </c>
      <c r="C647" s="36" t="str">
        <f>"141-15/NOS-7-A/14"</f>
        <v>141-15/NOS-7-A/14</v>
      </c>
      <c r="D647" s="36" t="s">
        <v>16</v>
      </c>
      <c r="E647" s="36" t="s">
        <v>690</v>
      </c>
      <c r="F647" s="36" t="s">
        <v>1031</v>
      </c>
      <c r="G647" s="36" t="str">
        <f>"141-15/NOS-7-A/14"</f>
        <v>141-15/NOS-7-A/14</v>
      </c>
      <c r="H647" s="36" t="str">
        <f>"Ugovor na temelju okvirnog sporazuma"</f>
        <v>Ugovor na temelju okvirnog sporazuma</v>
      </c>
      <c r="I647" s="36" t="s">
        <v>19</v>
      </c>
      <c r="J647" s="38" t="str">
        <f>"266.400,00"</f>
        <v>266.400,00</v>
      </c>
      <c r="K647" s="36" t="s">
        <v>225</v>
      </c>
      <c r="L647" s="36" t="s">
        <v>408</v>
      </c>
      <c r="M647" s="36" t="s">
        <v>1030</v>
      </c>
      <c r="N647" s="36" t="str">
        <f>"14.01.2016"</f>
        <v>14.01.2016</v>
      </c>
      <c r="O647" s="38" t="str">
        <f>"153.575,27"</f>
        <v>153.575,27</v>
      </c>
      <c r="P647" s="6"/>
    </row>
    <row r="648" spans="2:16" ht="15.75" x14ac:dyDescent="0.25">
      <c r="B648" s="37"/>
      <c r="C648" s="37"/>
      <c r="D648" s="37"/>
      <c r="E648" s="37"/>
      <c r="F648" s="37"/>
      <c r="G648" s="37"/>
      <c r="H648" s="37"/>
      <c r="I648" s="37"/>
      <c r="J648" s="39"/>
      <c r="K648" s="37"/>
      <c r="L648" s="37"/>
      <c r="M648" s="37"/>
      <c r="N648" s="37"/>
      <c r="O648" s="39"/>
      <c r="P648" s="8"/>
    </row>
    <row r="649" spans="2:16" ht="15.75" x14ac:dyDescent="0.25">
      <c r="B649" s="36">
        <v>453</v>
      </c>
      <c r="C649" s="36" t="str">
        <f>"93-15/NOS-7-B/14"</f>
        <v>93-15/NOS-7-B/14</v>
      </c>
      <c r="D649" s="36" t="s">
        <v>16</v>
      </c>
      <c r="E649" s="36" t="s">
        <v>690</v>
      </c>
      <c r="F649" s="36" t="s">
        <v>1032</v>
      </c>
      <c r="G649" s="36" t="str">
        <f>"93-15/NOS-7-B/14"</f>
        <v>93-15/NOS-7-B/14</v>
      </c>
      <c r="H649" s="36" t="str">
        <f>"Ugovor na temelju okvirnog sporazuma"</f>
        <v>Ugovor na temelju okvirnog sporazuma</v>
      </c>
      <c r="I649" s="36" t="s">
        <v>19</v>
      </c>
      <c r="J649" s="38" t="str">
        <f>"132.014,00"</f>
        <v>132.014,00</v>
      </c>
      <c r="K649" s="36" t="s">
        <v>167</v>
      </c>
      <c r="L649" s="36" t="s">
        <v>913</v>
      </c>
      <c r="M649" s="36" t="s">
        <v>1033</v>
      </c>
      <c r="N649" s="36" t="str">
        <f>"14.01.2016"</f>
        <v>14.01.2016</v>
      </c>
      <c r="O649" s="38" t="str">
        <f>"73.608,37"</f>
        <v>73.608,37</v>
      </c>
      <c r="P649" s="6"/>
    </row>
    <row r="650" spans="2:16" ht="15.75" x14ac:dyDescent="0.25">
      <c r="B650" s="37"/>
      <c r="C650" s="37"/>
      <c r="D650" s="37"/>
      <c r="E650" s="37"/>
      <c r="F650" s="37"/>
      <c r="G650" s="37"/>
      <c r="H650" s="37"/>
      <c r="I650" s="37"/>
      <c r="J650" s="39"/>
      <c r="K650" s="37"/>
      <c r="L650" s="37"/>
      <c r="M650" s="37"/>
      <c r="N650" s="37"/>
      <c r="O650" s="39"/>
      <c r="P650" s="8"/>
    </row>
    <row r="651" spans="2:16" ht="63" x14ac:dyDescent="0.25">
      <c r="B651" s="2">
        <v>454</v>
      </c>
      <c r="C651" s="2" t="str">
        <f>"8-15/NOS-71/13"</f>
        <v>8-15/NOS-71/13</v>
      </c>
      <c r="D651" s="2" t="s">
        <v>16</v>
      </c>
      <c r="E651" s="2" t="s">
        <v>690</v>
      </c>
      <c r="F651" s="2" t="s">
        <v>1034</v>
      </c>
      <c r="G651" s="2" t="str">
        <f>"8-15/NOS-71/13"</f>
        <v>8-15/NOS-71/13</v>
      </c>
      <c r="H651" s="2" t="str">
        <f>"Ugovor na temelju okvirnog sporazuma"</f>
        <v>Ugovor na temelju okvirnog sporazuma</v>
      </c>
      <c r="I651" s="2" t="s">
        <v>19</v>
      </c>
      <c r="J651" s="3" t="str">
        <f>"415.580,50"</f>
        <v>415.580,50</v>
      </c>
      <c r="K651" s="2" t="s">
        <v>225</v>
      </c>
      <c r="L651" s="2" t="s">
        <v>408</v>
      </c>
      <c r="M651" s="2" t="s">
        <v>481</v>
      </c>
      <c r="N651" s="2" t="str">
        <f>"11.01.2016"</f>
        <v>11.01.2016</v>
      </c>
      <c r="O651" s="3" t="str">
        <f>"214.563,50"</f>
        <v>214.563,50</v>
      </c>
      <c r="P651" s="4"/>
    </row>
    <row r="652" spans="2:16" ht="63" x14ac:dyDescent="0.25">
      <c r="B652" s="2">
        <v>455</v>
      </c>
      <c r="C652" s="2" t="str">
        <f>"9-15/NOS-100-A-ZGH/14"</f>
        <v>9-15/NOS-100-A-ZGH/14</v>
      </c>
      <c r="D652" s="2" t="s">
        <v>707</v>
      </c>
      <c r="E652" s="2" t="s">
        <v>690</v>
      </c>
      <c r="F652" s="2" t="s">
        <v>1035</v>
      </c>
      <c r="G652" s="2" t="str">
        <f>"9-15/NOS-100-A-ZGH/14"</f>
        <v>9-15/NOS-100-A-ZGH/14</v>
      </c>
      <c r="H652" s="2" t="str">
        <f>"Ugovor na temelju okvirnog sporazuma"</f>
        <v>Ugovor na temelju okvirnog sporazuma</v>
      </c>
      <c r="I652" s="2" t="s">
        <v>19</v>
      </c>
      <c r="J652" s="3" t="str">
        <f>"67.293,40"</f>
        <v>67.293,40</v>
      </c>
      <c r="K652" s="2" t="s">
        <v>526</v>
      </c>
      <c r="L652" s="2" t="s">
        <v>982</v>
      </c>
      <c r="M652" s="2" t="s">
        <v>382</v>
      </c>
      <c r="N652" s="2" t="str">
        <f>"11.01.2016"</f>
        <v>11.01.2016</v>
      </c>
      <c r="O652" s="3" t="str">
        <f>"4.826,66"</f>
        <v>4.826,66</v>
      </c>
      <c r="P652" s="4"/>
    </row>
    <row r="653" spans="2:16" ht="15.75" x14ac:dyDescent="0.25">
      <c r="B653" s="36">
        <v>456</v>
      </c>
      <c r="C653" s="36" t="str">
        <f>"8-15/NOS-100-A-ZGH/14"</f>
        <v>8-15/NOS-100-A-ZGH/14</v>
      </c>
      <c r="D653" s="36" t="s">
        <v>16</v>
      </c>
      <c r="E653" s="36" t="s">
        <v>690</v>
      </c>
      <c r="F653" s="36" t="s">
        <v>1036</v>
      </c>
      <c r="G653" s="36" t="str">
        <f>"8-15/NOS-100-A-ZGH/14"</f>
        <v>8-15/NOS-100-A-ZGH/14</v>
      </c>
      <c r="H653" s="36" t="str">
        <f>"Ugovor na temelju okvirnog sporazuma"</f>
        <v>Ugovor na temelju okvirnog sporazuma</v>
      </c>
      <c r="I653" s="36" t="s">
        <v>19</v>
      </c>
      <c r="J653" s="38" t="str">
        <f>"1.698.260,22"</f>
        <v>1.698.260,22</v>
      </c>
      <c r="K653" s="36" t="s">
        <v>526</v>
      </c>
      <c r="L653" s="36" t="s">
        <v>982</v>
      </c>
      <c r="M653" s="36" t="s">
        <v>382</v>
      </c>
      <c r="N653" s="36" t="str">
        <f>"14.01.2016"</f>
        <v>14.01.2016</v>
      </c>
      <c r="O653" s="38" t="str">
        <f>"300.448,09"</f>
        <v>300.448,09</v>
      </c>
      <c r="P653" s="6"/>
    </row>
    <row r="654" spans="2:16" ht="15.75" x14ac:dyDescent="0.25">
      <c r="B654" s="48"/>
      <c r="C654" s="48"/>
      <c r="D654" s="48"/>
      <c r="E654" s="48"/>
      <c r="F654" s="48"/>
      <c r="G654" s="48"/>
      <c r="H654" s="48"/>
      <c r="I654" s="48"/>
      <c r="J654" s="49"/>
      <c r="K654" s="48"/>
      <c r="L654" s="48"/>
      <c r="M654" s="48"/>
      <c r="N654" s="48"/>
      <c r="O654" s="49"/>
      <c r="P654" s="7"/>
    </row>
    <row r="655" spans="2:16" ht="15.75" x14ac:dyDescent="0.25">
      <c r="B655" s="37"/>
      <c r="C655" s="37"/>
      <c r="D655" s="37"/>
      <c r="E655" s="37"/>
      <c r="F655" s="37"/>
      <c r="G655" s="37"/>
      <c r="H655" s="37"/>
      <c r="I655" s="37"/>
      <c r="J655" s="39"/>
      <c r="K655" s="37"/>
      <c r="L655" s="37"/>
      <c r="M655" s="37"/>
      <c r="N655" s="37"/>
      <c r="O655" s="39"/>
      <c r="P655" s="8"/>
    </row>
    <row r="656" spans="2:16" ht="63" x14ac:dyDescent="0.25">
      <c r="B656" s="2">
        <v>457</v>
      </c>
      <c r="C656" s="2" t="str">
        <f>"10-15/NOS-100-A-ZGH/14"</f>
        <v>10-15/NOS-100-A-ZGH/14</v>
      </c>
      <c r="D656" s="2" t="s">
        <v>362</v>
      </c>
      <c r="E656" s="2" t="s">
        <v>690</v>
      </c>
      <c r="F656" s="2" t="s">
        <v>1037</v>
      </c>
      <c r="G656" s="2" t="str">
        <f>"10-15/NOS-100-A-ZGH/14"</f>
        <v>10-15/NOS-100-A-ZGH/14</v>
      </c>
      <c r="H656" s="2" t="str">
        <f>"Ugovor na temelju okvirnog sporazuma"</f>
        <v>Ugovor na temelju okvirnog sporazuma</v>
      </c>
      <c r="I656" s="2" t="s">
        <v>19</v>
      </c>
      <c r="J656" s="3" t="str">
        <f>"3.154.090,15"</f>
        <v>3.154.090,15</v>
      </c>
      <c r="K656" s="2" t="s">
        <v>526</v>
      </c>
      <c r="L656" s="2" t="s">
        <v>982</v>
      </c>
      <c r="M656" s="2" t="s">
        <v>382</v>
      </c>
      <c r="N656" s="2" t="str">
        <f>"08.09.2015"</f>
        <v>08.09.2015</v>
      </c>
      <c r="O656" s="3" t="str">
        <f>"32.068,79"</f>
        <v>32.068,79</v>
      </c>
      <c r="P656" s="4"/>
    </row>
    <row r="657" spans="2:16" ht="63" x14ac:dyDescent="0.25">
      <c r="B657" s="2">
        <v>458</v>
      </c>
      <c r="C657" s="2" t="str">
        <f>"11-15/NOS-100-A-ZGH/14"</f>
        <v>11-15/NOS-100-A-ZGH/14</v>
      </c>
      <c r="D657" s="2" t="s">
        <v>85</v>
      </c>
      <c r="E657" s="2" t="s">
        <v>690</v>
      </c>
      <c r="F657" s="2" t="s">
        <v>1038</v>
      </c>
      <c r="G657" s="2" t="str">
        <f>"11-15/NOS-100-A-ZGH/14"</f>
        <v>11-15/NOS-100-A-ZGH/14</v>
      </c>
      <c r="H657" s="2" t="str">
        <f>"Ugovor na temelju okvirnog sporazuma"</f>
        <v>Ugovor na temelju okvirnog sporazuma</v>
      </c>
      <c r="I657" s="2" t="s">
        <v>19</v>
      </c>
      <c r="J657" s="3" t="str">
        <f>"3.012.039,25"</f>
        <v>3.012.039,25</v>
      </c>
      <c r="K657" s="2" t="s">
        <v>526</v>
      </c>
      <c r="L657" s="2" t="s">
        <v>982</v>
      </c>
      <c r="M657" s="2" t="s">
        <v>382</v>
      </c>
      <c r="N657" s="2" t="str">
        <f>"28.12.2015"</f>
        <v>28.12.2015</v>
      </c>
      <c r="O657" s="3" t="str">
        <f>"1.121.982,98"</f>
        <v>1.121.982,98</v>
      </c>
      <c r="P657" s="4"/>
    </row>
    <row r="658" spans="2:16" ht="63" x14ac:dyDescent="0.25">
      <c r="B658" s="2">
        <v>459</v>
      </c>
      <c r="C658" s="2" t="str">
        <f>"12-15/NOS-100-A-ZGH/14"</f>
        <v>12-15/NOS-100-A-ZGH/14</v>
      </c>
      <c r="D658" s="2" t="s">
        <v>356</v>
      </c>
      <c r="E658" s="2" t="s">
        <v>690</v>
      </c>
      <c r="F658" s="2" t="s">
        <v>1039</v>
      </c>
      <c r="G658" s="2" t="str">
        <f>"12-15/NOS-100-A-ZGH/14"</f>
        <v>12-15/NOS-100-A-ZGH/14</v>
      </c>
      <c r="H658" s="2" t="str">
        <f>"Ugovor na temelju okvirnog sporazuma"</f>
        <v>Ugovor na temelju okvirnog sporazuma</v>
      </c>
      <c r="I658" s="2" t="s">
        <v>19</v>
      </c>
      <c r="J658" s="3" t="str">
        <f>"100.171,70"</f>
        <v>100.171,70</v>
      </c>
      <c r="K658" s="2" t="s">
        <v>526</v>
      </c>
      <c r="L658" s="2" t="s">
        <v>982</v>
      </c>
      <c r="M658" s="2" t="s">
        <v>382</v>
      </c>
      <c r="N658" s="2" t="s">
        <v>23</v>
      </c>
      <c r="O658" s="3" t="str">
        <f>"0,00"</f>
        <v>0,00</v>
      </c>
      <c r="P658" s="4"/>
    </row>
    <row r="659" spans="2:16" ht="78.75" x14ac:dyDescent="0.25">
      <c r="B659" s="2">
        <v>460</v>
      </c>
      <c r="C659" s="2" t="str">
        <f>"13-15/NOS-100-A-ZGH/14"</f>
        <v>13-15/NOS-100-A-ZGH/14</v>
      </c>
      <c r="D659" s="2" t="s">
        <v>284</v>
      </c>
      <c r="E659" s="2" t="s">
        <v>690</v>
      </c>
      <c r="F659" s="2" t="s">
        <v>1040</v>
      </c>
      <c r="G659" s="2" t="str">
        <f>"13-15/NOS-100-A-ZGH/14"</f>
        <v>13-15/NOS-100-A-ZGH/14</v>
      </c>
      <c r="H659" s="2" t="str">
        <f>"Ugovor na temelju okvirnog sporazuma"</f>
        <v>Ugovor na temelju okvirnog sporazuma</v>
      </c>
      <c r="I659" s="2" t="s">
        <v>19</v>
      </c>
      <c r="J659" s="3" t="str">
        <f>"2.186.488,93"</f>
        <v>2.186.488,93</v>
      </c>
      <c r="K659" s="2" t="s">
        <v>526</v>
      </c>
      <c r="L659" s="2" t="s">
        <v>1041</v>
      </c>
      <c r="M659" s="2" t="s">
        <v>382</v>
      </c>
      <c r="N659" s="2" t="str">
        <f>"17.12.2015"</f>
        <v>17.12.2015</v>
      </c>
      <c r="O659" s="3" t="str">
        <f>"859.079,44"</f>
        <v>859.079,44</v>
      </c>
      <c r="P659" s="4"/>
    </row>
    <row r="660" spans="2:16" ht="15.75" x14ac:dyDescent="0.25">
      <c r="B660" s="36">
        <v>461</v>
      </c>
      <c r="C660" s="36" t="str">
        <f>"17-15/NOS-100-B-ZGH/14"</f>
        <v>17-15/NOS-100-B-ZGH/14</v>
      </c>
      <c r="D660" s="36" t="s">
        <v>16</v>
      </c>
      <c r="E660" s="36" t="s">
        <v>690</v>
      </c>
      <c r="F660" s="36" t="s">
        <v>1042</v>
      </c>
      <c r="G660" s="36" t="str">
        <f>"17-15/NOS-100-B-ZGH/14"</f>
        <v>17-15/NOS-100-B-ZGH/14</v>
      </c>
      <c r="H660" s="36" t="str">
        <f>"Ugovor na temelju okvirnog sporazuma"</f>
        <v>Ugovor na temelju okvirnog sporazuma</v>
      </c>
      <c r="I660" s="36" t="s">
        <v>19</v>
      </c>
      <c r="J660" s="38" t="str">
        <f>"54.177,40"</f>
        <v>54.177,40</v>
      </c>
      <c r="K660" s="36" t="s">
        <v>526</v>
      </c>
      <c r="L660" s="36" t="s">
        <v>982</v>
      </c>
      <c r="M660" s="36" t="s">
        <v>382</v>
      </c>
      <c r="N660" s="36" t="str">
        <f>"14.01.2016"</f>
        <v>14.01.2016</v>
      </c>
      <c r="O660" s="38" t="str">
        <f>"3.813,00"</f>
        <v>3.813,00</v>
      </c>
      <c r="P660" s="6"/>
    </row>
    <row r="661" spans="2:16" ht="15.75" x14ac:dyDescent="0.25">
      <c r="B661" s="37"/>
      <c r="C661" s="37"/>
      <c r="D661" s="37"/>
      <c r="E661" s="37"/>
      <c r="F661" s="37"/>
      <c r="G661" s="37"/>
      <c r="H661" s="37"/>
      <c r="I661" s="37"/>
      <c r="J661" s="39"/>
      <c r="K661" s="37"/>
      <c r="L661" s="37"/>
      <c r="M661" s="37"/>
      <c r="N661" s="37"/>
      <c r="O661" s="39"/>
      <c r="P661" s="8"/>
    </row>
    <row r="662" spans="2:16" ht="63" x14ac:dyDescent="0.25">
      <c r="B662" s="2">
        <v>462</v>
      </c>
      <c r="C662" s="2" t="str">
        <f>"20-15/NOS-100-B-ZGH/14"</f>
        <v>20-15/NOS-100-B-ZGH/14</v>
      </c>
      <c r="D662" s="2" t="s">
        <v>85</v>
      </c>
      <c r="E662" s="2" t="s">
        <v>690</v>
      </c>
      <c r="F662" s="2" t="s">
        <v>1043</v>
      </c>
      <c r="G662" s="2" t="str">
        <f>"20-15/NOS-100-B-ZGH/14"</f>
        <v>20-15/NOS-100-B-ZGH/14</v>
      </c>
      <c r="H662" s="2" t="str">
        <f>"Ugovor na temelju okvirnog sporazuma"</f>
        <v>Ugovor na temelju okvirnog sporazuma</v>
      </c>
      <c r="I662" s="2" t="s">
        <v>19</v>
      </c>
      <c r="J662" s="3" t="str">
        <f>"8.468,00"</f>
        <v>8.468,00</v>
      </c>
      <c r="K662" s="2" t="s">
        <v>526</v>
      </c>
      <c r="L662" s="2" t="s">
        <v>982</v>
      </c>
      <c r="M662" s="2" t="s">
        <v>382</v>
      </c>
      <c r="N662" s="2" t="s">
        <v>23</v>
      </c>
      <c r="O662" s="3" t="str">
        <f>"0,00"</f>
        <v>0,00</v>
      </c>
      <c r="P662" s="4"/>
    </row>
    <row r="663" spans="2:16" s="19" customFormat="1" ht="94.5" customHeight="1" x14ac:dyDescent="0.25">
      <c r="B663" s="16">
        <v>463</v>
      </c>
      <c r="C663" s="16" t="str">
        <f>"1-15/NOS-119/14"</f>
        <v>1-15/NOS-119/14</v>
      </c>
      <c r="D663" s="16" t="s">
        <v>16</v>
      </c>
      <c r="E663" s="16" t="s">
        <v>690</v>
      </c>
      <c r="F663" s="16" t="s">
        <v>1044</v>
      </c>
      <c r="G663" s="16" t="str">
        <f>"1-15/NOS-119/14"</f>
        <v>1-15/NOS-119/14</v>
      </c>
      <c r="H663" s="16" t="str">
        <f>"Ugovor na temelju okvirnog sporazuma"</f>
        <v>Ugovor na temelju okvirnog sporazuma</v>
      </c>
      <c r="I663" s="16" t="s">
        <v>19</v>
      </c>
      <c r="J663" s="17" t="str">
        <f>"1.580.000,00"</f>
        <v>1.580.000,00</v>
      </c>
      <c r="K663" s="16" t="s">
        <v>514</v>
      </c>
      <c r="L663" s="16" t="s">
        <v>1045</v>
      </c>
      <c r="M663" s="16" t="s">
        <v>98</v>
      </c>
      <c r="N663" s="16" t="str">
        <f>"16.09.2015"</f>
        <v>16.09.2015</v>
      </c>
      <c r="O663" s="24">
        <v>1618473</v>
      </c>
      <c r="P663" s="16" t="s">
        <v>1046</v>
      </c>
    </row>
    <row r="664" spans="2:16" ht="15.75" x14ac:dyDescent="0.25">
      <c r="B664" s="36">
        <v>464</v>
      </c>
      <c r="C664" s="36" t="str">
        <f>"1-15/NOS-12-D/14"</f>
        <v>1-15/NOS-12-D/14</v>
      </c>
      <c r="D664" s="36" t="s">
        <v>16</v>
      </c>
      <c r="E664" s="36" t="s">
        <v>690</v>
      </c>
      <c r="F664" s="36" t="s">
        <v>1047</v>
      </c>
      <c r="G664" s="36" t="str">
        <f>"1-15/NOS-12-D/14"</f>
        <v>1-15/NOS-12-D/14</v>
      </c>
      <c r="H664" s="36" t="str">
        <f>"Ugovor na temelju okvirnog sporazuma"</f>
        <v>Ugovor na temelju okvirnog sporazuma</v>
      </c>
      <c r="I664" s="36" t="s">
        <v>19</v>
      </c>
      <c r="J664" s="38" t="str">
        <f>"2.035.550,00"</f>
        <v>2.035.550,00</v>
      </c>
      <c r="K664" s="36" t="s">
        <v>225</v>
      </c>
      <c r="L664" s="36" t="s">
        <v>526</v>
      </c>
      <c r="M664" s="36" t="s">
        <v>142</v>
      </c>
      <c r="N664" s="36" t="str">
        <f>"22.12.2015"</f>
        <v>22.12.2015</v>
      </c>
      <c r="O664" s="38" t="str">
        <f>"694.615,00"</f>
        <v>694.615,00</v>
      </c>
      <c r="P664" s="6"/>
    </row>
    <row r="665" spans="2:16" ht="15.75" x14ac:dyDescent="0.25">
      <c r="B665" s="37"/>
      <c r="C665" s="37"/>
      <c r="D665" s="37"/>
      <c r="E665" s="37"/>
      <c r="F665" s="37"/>
      <c r="G665" s="37"/>
      <c r="H665" s="37"/>
      <c r="I665" s="37"/>
      <c r="J665" s="39"/>
      <c r="K665" s="37"/>
      <c r="L665" s="37"/>
      <c r="M665" s="37"/>
      <c r="N665" s="37"/>
      <c r="O665" s="39"/>
      <c r="P665" s="8"/>
    </row>
    <row r="666" spans="2:16" ht="110.25" x14ac:dyDescent="0.25">
      <c r="B666" s="2">
        <v>465</v>
      </c>
      <c r="C666" s="2" t="str">
        <f>"2-15/NOS-116-A/11"</f>
        <v>2-15/NOS-116-A/11</v>
      </c>
      <c r="D666" s="2" t="s">
        <v>16</v>
      </c>
      <c r="E666" s="2" t="s">
        <v>690</v>
      </c>
      <c r="F666" s="2" t="s">
        <v>1048</v>
      </c>
      <c r="G666" s="2" t="str">
        <f>"2-15/NOS-116-A/11"</f>
        <v>2-15/NOS-116-A/11</v>
      </c>
      <c r="H666" s="2" t="str">
        <f t="shared" ref="H666:H672" si="10">"Ugovor na temelju okvirnog sporazuma"</f>
        <v>Ugovor na temelju okvirnog sporazuma</v>
      </c>
      <c r="I666" s="2" t="s">
        <v>19</v>
      </c>
      <c r="J666" s="3" t="str">
        <f>"295.000,00"</f>
        <v>295.000,00</v>
      </c>
      <c r="K666" s="2" t="s">
        <v>440</v>
      </c>
      <c r="L666" s="2" t="s">
        <v>526</v>
      </c>
      <c r="M666" s="2" t="s">
        <v>832</v>
      </c>
      <c r="N666" s="2" t="str">
        <f>"30.09.2015"</f>
        <v>30.09.2015</v>
      </c>
      <c r="O666" s="3" t="str">
        <f>"294.621,22"</f>
        <v>294.621,22</v>
      </c>
      <c r="P666" s="4"/>
    </row>
    <row r="667" spans="2:16" ht="63" x14ac:dyDescent="0.25">
      <c r="B667" s="2">
        <v>466</v>
      </c>
      <c r="C667" s="2" t="str">
        <f>"3-15/NOS-12-A/14"</f>
        <v>3-15/NOS-12-A/14</v>
      </c>
      <c r="D667" s="2" t="s">
        <v>16</v>
      </c>
      <c r="E667" s="2" t="s">
        <v>690</v>
      </c>
      <c r="F667" s="2" t="s">
        <v>1049</v>
      </c>
      <c r="G667" s="2" t="str">
        <f>"3-15/NOS-12-A/14"</f>
        <v>3-15/NOS-12-A/14</v>
      </c>
      <c r="H667" s="2" t="str">
        <f t="shared" si="10"/>
        <v>Ugovor na temelju okvirnog sporazuma</v>
      </c>
      <c r="I667" s="2" t="s">
        <v>19</v>
      </c>
      <c r="J667" s="3" t="str">
        <f>"2.456.000,00"</f>
        <v>2.456.000,00</v>
      </c>
      <c r="K667" s="2" t="s">
        <v>440</v>
      </c>
      <c r="L667" s="2" t="s">
        <v>526</v>
      </c>
      <c r="M667" s="2" t="s">
        <v>518</v>
      </c>
      <c r="N667" s="2" t="str">
        <f>"13.01.2016"</f>
        <v>13.01.2016</v>
      </c>
      <c r="O667" s="3" t="str">
        <f>"2.082.082,50"</f>
        <v>2.082.082,50</v>
      </c>
      <c r="P667" s="4"/>
    </row>
    <row r="668" spans="2:16" ht="63" x14ac:dyDescent="0.25">
      <c r="B668" s="2">
        <v>467</v>
      </c>
      <c r="C668" s="2" t="str">
        <f>"1-15/NOS-107/11"</f>
        <v>1-15/NOS-107/11</v>
      </c>
      <c r="D668" s="2" t="s">
        <v>16</v>
      </c>
      <c r="E668" s="2" t="s">
        <v>690</v>
      </c>
      <c r="F668" s="2" t="s">
        <v>1050</v>
      </c>
      <c r="G668" s="2" t="str">
        <f>"1-15/NOS-107/11"</f>
        <v>1-15/NOS-107/11</v>
      </c>
      <c r="H668" s="2" t="str">
        <f t="shared" si="10"/>
        <v>Ugovor na temelju okvirnog sporazuma</v>
      </c>
      <c r="I668" s="2" t="s">
        <v>19</v>
      </c>
      <c r="J668" s="3" t="str">
        <f>"7.182.409,21"</f>
        <v>7.182.409,21</v>
      </c>
      <c r="K668" s="2" t="s">
        <v>526</v>
      </c>
      <c r="L668" s="2" t="s">
        <v>1028</v>
      </c>
      <c r="M668" s="2" t="s">
        <v>1017</v>
      </c>
      <c r="N668" s="2" t="str">
        <f>"10.12.2015"</f>
        <v>10.12.2015</v>
      </c>
      <c r="O668" s="3" t="str">
        <f>"135.328,44"</f>
        <v>135.328,44</v>
      </c>
      <c r="P668" s="4"/>
    </row>
    <row r="669" spans="2:16" ht="63" x14ac:dyDescent="0.25">
      <c r="B669" s="2">
        <v>468</v>
      </c>
      <c r="C669" s="2" t="str">
        <f>"4-15/NOS-140/13"</f>
        <v>4-15/NOS-140/13</v>
      </c>
      <c r="D669" s="2" t="s">
        <v>16</v>
      </c>
      <c r="E669" s="2" t="s">
        <v>690</v>
      </c>
      <c r="F669" s="2" t="s">
        <v>872</v>
      </c>
      <c r="G669" s="2" t="str">
        <f>"4-15/NOS-140/13"</f>
        <v>4-15/NOS-140/13</v>
      </c>
      <c r="H669" s="2" t="str">
        <f t="shared" si="10"/>
        <v>Ugovor na temelju okvirnog sporazuma</v>
      </c>
      <c r="I669" s="2" t="s">
        <v>19</v>
      </c>
      <c r="J669" s="3" t="str">
        <f>"4.704.000,00"</f>
        <v>4.704.000,00</v>
      </c>
      <c r="K669" s="2" t="s">
        <v>155</v>
      </c>
      <c r="L669" s="2" t="s">
        <v>1051</v>
      </c>
      <c r="M669" s="2" t="s">
        <v>209</v>
      </c>
      <c r="N669" s="2" t="str">
        <f>"30.12.2015"</f>
        <v>30.12.2015</v>
      </c>
      <c r="O669" s="3" t="str">
        <f>"2.814.450,24"</f>
        <v>2.814.450,24</v>
      </c>
      <c r="P669" s="4"/>
    </row>
    <row r="670" spans="2:16" ht="63" x14ac:dyDescent="0.25">
      <c r="B670" s="2">
        <v>469</v>
      </c>
      <c r="C670" s="2" t="str">
        <f>"2-15/NOS-141-B/13"</f>
        <v>2-15/NOS-141-B/13</v>
      </c>
      <c r="D670" s="2" t="s">
        <v>16</v>
      </c>
      <c r="E670" s="2" t="s">
        <v>690</v>
      </c>
      <c r="F670" s="2" t="s">
        <v>1052</v>
      </c>
      <c r="G670" s="2" t="str">
        <f>"2-15/NOS-141-B/13"</f>
        <v>2-15/NOS-141-B/13</v>
      </c>
      <c r="H670" s="2" t="str">
        <f t="shared" si="10"/>
        <v>Ugovor na temelju okvirnog sporazuma</v>
      </c>
      <c r="I670" s="2" t="s">
        <v>19</v>
      </c>
      <c r="J670" s="3" t="str">
        <f>"229.398,96"</f>
        <v>229.398,96</v>
      </c>
      <c r="K670" s="2" t="s">
        <v>225</v>
      </c>
      <c r="L670" s="2" t="s">
        <v>440</v>
      </c>
      <c r="M670" s="2" t="s">
        <v>50</v>
      </c>
      <c r="N670" s="2" t="str">
        <f>"30.11.2015"</f>
        <v>30.11.2015</v>
      </c>
      <c r="O670" s="3" t="str">
        <f>"208.332,90"</f>
        <v>208.332,90</v>
      </c>
      <c r="P670" s="4"/>
    </row>
    <row r="671" spans="2:16" ht="63" x14ac:dyDescent="0.25">
      <c r="B671" s="2">
        <v>470</v>
      </c>
      <c r="C671" s="2" t="str">
        <f>"14-15/NOS-55/15"</f>
        <v>14-15/NOS-55/15</v>
      </c>
      <c r="D671" s="2" t="s">
        <v>362</v>
      </c>
      <c r="E671" s="2" t="s">
        <v>690</v>
      </c>
      <c r="F671" s="2" t="s">
        <v>1053</v>
      </c>
      <c r="G671" s="2" t="str">
        <f>"14-15/NOS-55/15"</f>
        <v>14-15/NOS-55/15</v>
      </c>
      <c r="H671" s="2" t="str">
        <f t="shared" si="10"/>
        <v>Ugovor na temelju okvirnog sporazuma</v>
      </c>
      <c r="I671" s="2" t="s">
        <v>19</v>
      </c>
      <c r="J671" s="3" t="str">
        <f>"315,06"</f>
        <v>315,06</v>
      </c>
      <c r="K671" s="2" t="s">
        <v>657</v>
      </c>
      <c r="L671" s="2" t="s">
        <v>982</v>
      </c>
      <c r="M671" s="2" t="s">
        <v>223</v>
      </c>
      <c r="N671" s="2" t="str">
        <f>"08.09.2015"</f>
        <v>08.09.2015</v>
      </c>
      <c r="O671" s="3" t="str">
        <f>"315,06"</f>
        <v>315,06</v>
      </c>
      <c r="P671" s="4"/>
    </row>
    <row r="672" spans="2:16" ht="15.75" x14ac:dyDescent="0.25">
      <c r="B672" s="36">
        <v>471</v>
      </c>
      <c r="C672" s="36" t="str">
        <f>"19-15/NOS-55/15"</f>
        <v>19-15/NOS-55/15</v>
      </c>
      <c r="D672" s="36" t="s">
        <v>16</v>
      </c>
      <c r="E672" s="36" t="s">
        <v>690</v>
      </c>
      <c r="F672" s="36" t="s">
        <v>1054</v>
      </c>
      <c r="G672" s="36" t="str">
        <f>"19-15/NOS-55/15"</f>
        <v>19-15/NOS-55/15</v>
      </c>
      <c r="H672" s="36" t="str">
        <f t="shared" si="10"/>
        <v>Ugovor na temelju okvirnog sporazuma</v>
      </c>
      <c r="I672" s="36" t="s">
        <v>19</v>
      </c>
      <c r="J672" s="38" t="str">
        <f>"61.130,85"</f>
        <v>61.130,85</v>
      </c>
      <c r="K672" s="36" t="s">
        <v>464</v>
      </c>
      <c r="L672" s="36" t="s">
        <v>982</v>
      </c>
      <c r="M672" s="36" t="s">
        <v>223</v>
      </c>
      <c r="N672" s="36" t="str">
        <f>"14.01.2016"</f>
        <v>14.01.2016</v>
      </c>
      <c r="O672" s="38" t="str">
        <f>"24.729,85"</f>
        <v>24.729,85</v>
      </c>
      <c r="P672" s="6"/>
    </row>
    <row r="673" spans="2:16" ht="15.75" x14ac:dyDescent="0.25">
      <c r="B673" s="48"/>
      <c r="C673" s="48"/>
      <c r="D673" s="48"/>
      <c r="E673" s="48"/>
      <c r="F673" s="48"/>
      <c r="G673" s="48"/>
      <c r="H673" s="48"/>
      <c r="I673" s="48"/>
      <c r="J673" s="49"/>
      <c r="K673" s="48"/>
      <c r="L673" s="48"/>
      <c r="M673" s="48"/>
      <c r="N673" s="48"/>
      <c r="O673" s="49"/>
      <c r="P673" s="7"/>
    </row>
    <row r="674" spans="2:16" ht="15.75" x14ac:dyDescent="0.25">
      <c r="B674" s="48"/>
      <c r="C674" s="48"/>
      <c r="D674" s="48"/>
      <c r="E674" s="48"/>
      <c r="F674" s="48"/>
      <c r="G674" s="48"/>
      <c r="H674" s="48"/>
      <c r="I674" s="48"/>
      <c r="J674" s="49"/>
      <c r="K674" s="48"/>
      <c r="L674" s="48"/>
      <c r="M674" s="48"/>
      <c r="N674" s="48"/>
      <c r="O674" s="49"/>
      <c r="P674" s="7"/>
    </row>
    <row r="675" spans="2:16" ht="15.75" x14ac:dyDescent="0.25">
      <c r="B675" s="48"/>
      <c r="C675" s="48"/>
      <c r="D675" s="48"/>
      <c r="E675" s="48"/>
      <c r="F675" s="48"/>
      <c r="G675" s="48"/>
      <c r="H675" s="48"/>
      <c r="I675" s="48"/>
      <c r="J675" s="49"/>
      <c r="K675" s="48"/>
      <c r="L675" s="48"/>
      <c r="M675" s="48"/>
      <c r="N675" s="48"/>
      <c r="O675" s="49"/>
      <c r="P675" s="7"/>
    </row>
    <row r="676" spans="2:16" ht="15.75" x14ac:dyDescent="0.25">
      <c r="B676" s="48"/>
      <c r="C676" s="48"/>
      <c r="D676" s="48"/>
      <c r="E676" s="48"/>
      <c r="F676" s="48"/>
      <c r="G676" s="48"/>
      <c r="H676" s="48"/>
      <c r="I676" s="48"/>
      <c r="J676" s="49"/>
      <c r="K676" s="48"/>
      <c r="L676" s="48"/>
      <c r="M676" s="48"/>
      <c r="N676" s="48"/>
      <c r="O676" s="49"/>
      <c r="P676" s="7"/>
    </row>
    <row r="677" spans="2:16" ht="15.75" x14ac:dyDescent="0.25">
      <c r="B677" s="48"/>
      <c r="C677" s="48"/>
      <c r="D677" s="48"/>
      <c r="E677" s="48"/>
      <c r="F677" s="48"/>
      <c r="G677" s="48"/>
      <c r="H677" s="48"/>
      <c r="I677" s="48"/>
      <c r="J677" s="49"/>
      <c r="K677" s="48"/>
      <c r="L677" s="48"/>
      <c r="M677" s="48"/>
      <c r="N677" s="48"/>
      <c r="O677" s="49"/>
      <c r="P677" s="7"/>
    </row>
    <row r="678" spans="2:16" ht="15.75" x14ac:dyDescent="0.25">
      <c r="B678" s="37"/>
      <c r="C678" s="37"/>
      <c r="D678" s="37"/>
      <c r="E678" s="37"/>
      <c r="F678" s="37"/>
      <c r="G678" s="37"/>
      <c r="H678" s="37"/>
      <c r="I678" s="37"/>
      <c r="J678" s="39"/>
      <c r="K678" s="37"/>
      <c r="L678" s="37"/>
      <c r="M678" s="37"/>
      <c r="N678" s="37"/>
      <c r="O678" s="39"/>
      <c r="P678" s="8"/>
    </row>
    <row r="679" spans="2:16" ht="15.75" x14ac:dyDescent="0.25">
      <c r="B679" s="36">
        <v>472</v>
      </c>
      <c r="C679" s="36" t="str">
        <f>"21-15/NOS-55/15"</f>
        <v>21-15/NOS-55/15</v>
      </c>
      <c r="D679" s="36" t="s">
        <v>16</v>
      </c>
      <c r="E679" s="36" t="s">
        <v>690</v>
      </c>
      <c r="F679" s="36" t="s">
        <v>1055</v>
      </c>
      <c r="G679" s="36" t="str">
        <f>"21-15/NOS-55/15"</f>
        <v>21-15/NOS-55/15</v>
      </c>
      <c r="H679" s="36" t="str">
        <f>"Ugovor na temelju okvirnog sporazuma"</f>
        <v>Ugovor na temelju okvirnog sporazuma</v>
      </c>
      <c r="I679" s="36" t="s">
        <v>19</v>
      </c>
      <c r="J679" s="38" t="str">
        <f>"108.113,40"</f>
        <v>108.113,40</v>
      </c>
      <c r="K679" s="36" t="s">
        <v>464</v>
      </c>
      <c r="L679" s="36" t="s">
        <v>982</v>
      </c>
      <c r="M679" s="36" t="s">
        <v>223</v>
      </c>
      <c r="N679" s="36" t="str">
        <f>"11.01.2016"</f>
        <v>11.01.2016</v>
      </c>
      <c r="O679" s="38" t="str">
        <f>"32.212,88"</f>
        <v>32.212,88</v>
      </c>
      <c r="P679" s="6"/>
    </row>
    <row r="680" spans="2:16" ht="15.75" x14ac:dyDescent="0.25">
      <c r="B680" s="48"/>
      <c r="C680" s="48"/>
      <c r="D680" s="48"/>
      <c r="E680" s="48"/>
      <c r="F680" s="48"/>
      <c r="G680" s="48"/>
      <c r="H680" s="48"/>
      <c r="I680" s="48"/>
      <c r="J680" s="49"/>
      <c r="K680" s="48"/>
      <c r="L680" s="48"/>
      <c r="M680" s="48"/>
      <c r="N680" s="48"/>
      <c r="O680" s="49"/>
      <c r="P680" s="7"/>
    </row>
    <row r="681" spans="2:16" ht="15.75" x14ac:dyDescent="0.25">
      <c r="B681" s="48"/>
      <c r="C681" s="48"/>
      <c r="D681" s="48"/>
      <c r="E681" s="48"/>
      <c r="F681" s="48"/>
      <c r="G681" s="48"/>
      <c r="H681" s="48"/>
      <c r="I681" s="48"/>
      <c r="J681" s="49"/>
      <c r="K681" s="48"/>
      <c r="L681" s="48"/>
      <c r="M681" s="48"/>
      <c r="N681" s="48"/>
      <c r="O681" s="49"/>
      <c r="P681" s="7"/>
    </row>
    <row r="682" spans="2:16" ht="15.75" x14ac:dyDescent="0.25">
      <c r="B682" s="48"/>
      <c r="C682" s="48"/>
      <c r="D682" s="48"/>
      <c r="E682" s="48"/>
      <c r="F682" s="48"/>
      <c r="G682" s="48"/>
      <c r="H682" s="48"/>
      <c r="I682" s="48"/>
      <c r="J682" s="49"/>
      <c r="K682" s="48"/>
      <c r="L682" s="48"/>
      <c r="M682" s="48"/>
      <c r="N682" s="48"/>
      <c r="O682" s="49"/>
      <c r="P682" s="7"/>
    </row>
    <row r="683" spans="2:16" ht="15.75" x14ac:dyDescent="0.25">
      <c r="B683" s="48"/>
      <c r="C683" s="48"/>
      <c r="D683" s="48"/>
      <c r="E683" s="48"/>
      <c r="F683" s="48"/>
      <c r="G683" s="48"/>
      <c r="H683" s="48"/>
      <c r="I683" s="48"/>
      <c r="J683" s="49"/>
      <c r="K683" s="48"/>
      <c r="L683" s="48"/>
      <c r="M683" s="48"/>
      <c r="N683" s="48"/>
      <c r="O683" s="49"/>
      <c r="P683" s="7"/>
    </row>
    <row r="684" spans="2:16" ht="15.75" x14ac:dyDescent="0.25">
      <c r="B684" s="48"/>
      <c r="C684" s="48"/>
      <c r="D684" s="48"/>
      <c r="E684" s="48"/>
      <c r="F684" s="48"/>
      <c r="G684" s="48"/>
      <c r="H684" s="48"/>
      <c r="I684" s="48"/>
      <c r="J684" s="49"/>
      <c r="K684" s="48"/>
      <c r="L684" s="48"/>
      <c r="M684" s="48"/>
      <c r="N684" s="48"/>
      <c r="O684" s="49"/>
      <c r="P684" s="7"/>
    </row>
    <row r="685" spans="2:16" ht="15.75" x14ac:dyDescent="0.25">
      <c r="B685" s="48"/>
      <c r="C685" s="48"/>
      <c r="D685" s="48"/>
      <c r="E685" s="48"/>
      <c r="F685" s="48"/>
      <c r="G685" s="48"/>
      <c r="H685" s="48"/>
      <c r="I685" s="48"/>
      <c r="J685" s="49"/>
      <c r="K685" s="48"/>
      <c r="L685" s="48"/>
      <c r="M685" s="48"/>
      <c r="N685" s="48"/>
      <c r="O685" s="49"/>
      <c r="P685" s="7"/>
    </row>
    <row r="686" spans="2:16" ht="15.75" hidden="1" x14ac:dyDescent="0.25">
      <c r="B686" s="48"/>
      <c r="C686" s="48"/>
      <c r="D686" s="48"/>
      <c r="E686" s="48"/>
      <c r="F686" s="48"/>
      <c r="G686" s="48"/>
      <c r="H686" s="48"/>
      <c r="I686" s="48"/>
      <c r="J686" s="49"/>
      <c r="K686" s="48"/>
      <c r="L686" s="48"/>
      <c r="M686" s="48"/>
      <c r="N686" s="48"/>
      <c r="O686" s="49"/>
      <c r="P686" s="7"/>
    </row>
    <row r="687" spans="2:16" ht="15.75" hidden="1" x14ac:dyDescent="0.25">
      <c r="B687" s="48"/>
      <c r="C687" s="48"/>
      <c r="D687" s="48"/>
      <c r="E687" s="48"/>
      <c r="F687" s="48"/>
      <c r="G687" s="48"/>
      <c r="H687" s="48"/>
      <c r="I687" s="48"/>
      <c r="J687" s="49"/>
      <c r="K687" s="48"/>
      <c r="L687" s="48"/>
      <c r="M687" s="48"/>
      <c r="N687" s="48"/>
      <c r="O687" s="49"/>
      <c r="P687" s="7"/>
    </row>
    <row r="688" spans="2:16" ht="15.75" hidden="1" x14ac:dyDescent="0.25">
      <c r="B688" s="48"/>
      <c r="C688" s="48"/>
      <c r="D688" s="48"/>
      <c r="E688" s="48"/>
      <c r="F688" s="48"/>
      <c r="G688" s="48"/>
      <c r="H688" s="48"/>
      <c r="I688" s="48"/>
      <c r="J688" s="49"/>
      <c r="K688" s="48"/>
      <c r="L688" s="48"/>
      <c r="M688" s="48"/>
      <c r="N688" s="48"/>
      <c r="O688" s="49"/>
      <c r="P688" s="7"/>
    </row>
    <row r="689" spans="2:16" ht="12.75" hidden="1" customHeight="1" x14ac:dyDescent="0.25">
      <c r="B689" s="48"/>
      <c r="C689" s="48"/>
      <c r="D689" s="48"/>
      <c r="E689" s="48"/>
      <c r="F689" s="48"/>
      <c r="G689" s="48"/>
      <c r="H689" s="48"/>
      <c r="I689" s="48"/>
      <c r="J689" s="49"/>
      <c r="K689" s="48"/>
      <c r="L689" s="48"/>
      <c r="M689" s="48"/>
      <c r="N689" s="48"/>
      <c r="O689" s="49"/>
      <c r="P689" s="7"/>
    </row>
    <row r="690" spans="2:16" ht="15.75" hidden="1" x14ac:dyDescent="0.25">
      <c r="B690" s="48"/>
      <c r="C690" s="48"/>
      <c r="D690" s="48"/>
      <c r="E690" s="48"/>
      <c r="F690" s="48"/>
      <c r="G690" s="48"/>
      <c r="H690" s="48"/>
      <c r="I690" s="48"/>
      <c r="J690" s="49"/>
      <c r="K690" s="48"/>
      <c r="L690" s="48"/>
      <c r="M690" s="48"/>
      <c r="N690" s="48"/>
      <c r="O690" s="49"/>
      <c r="P690" s="7"/>
    </row>
    <row r="691" spans="2:16" ht="15.75" hidden="1" x14ac:dyDescent="0.25">
      <c r="B691" s="48"/>
      <c r="C691" s="48"/>
      <c r="D691" s="48"/>
      <c r="E691" s="48"/>
      <c r="F691" s="48"/>
      <c r="G691" s="48"/>
      <c r="H691" s="48"/>
      <c r="I691" s="48"/>
      <c r="J691" s="49"/>
      <c r="K691" s="48"/>
      <c r="L691" s="48"/>
      <c r="M691" s="48"/>
      <c r="N691" s="48"/>
      <c r="O691" s="49"/>
      <c r="P691" s="7"/>
    </row>
    <row r="692" spans="2:16" ht="15.75" hidden="1" x14ac:dyDescent="0.25">
      <c r="B692" s="37"/>
      <c r="C692" s="37"/>
      <c r="D692" s="37"/>
      <c r="E692" s="37"/>
      <c r="F692" s="37"/>
      <c r="G692" s="37"/>
      <c r="H692" s="37"/>
      <c r="I692" s="37"/>
      <c r="J692" s="39"/>
      <c r="K692" s="37"/>
      <c r="L692" s="37"/>
      <c r="M692" s="37"/>
      <c r="N692" s="37"/>
      <c r="O692" s="39"/>
      <c r="P692" s="8"/>
    </row>
    <row r="693" spans="2:16" ht="15.75" x14ac:dyDescent="0.25">
      <c r="B693" s="36">
        <v>473</v>
      </c>
      <c r="C693" s="36" t="str">
        <f>"26-15/NOS-55/15"</f>
        <v>26-15/NOS-55/15</v>
      </c>
      <c r="D693" s="36" t="s">
        <v>16</v>
      </c>
      <c r="E693" s="36" t="s">
        <v>690</v>
      </c>
      <c r="F693" s="36" t="s">
        <v>1056</v>
      </c>
      <c r="G693" s="36" t="str">
        <f>"26-15/NOS-55/15"</f>
        <v>26-15/NOS-55/15</v>
      </c>
      <c r="H693" s="36" t="str">
        <f>"Ugovor na temelju okvirnog sporazuma"</f>
        <v>Ugovor na temelju okvirnog sporazuma</v>
      </c>
      <c r="I693" s="36" t="s">
        <v>19</v>
      </c>
      <c r="J693" s="38" t="str">
        <f>"121.394,61"</f>
        <v>121.394,61</v>
      </c>
      <c r="K693" s="36" t="s">
        <v>464</v>
      </c>
      <c r="L693" s="36" t="s">
        <v>982</v>
      </c>
      <c r="M693" s="36" t="s">
        <v>223</v>
      </c>
      <c r="N693" s="36" t="str">
        <f>"05.01.2016"</f>
        <v>05.01.2016</v>
      </c>
      <c r="O693" s="38" t="str">
        <f>"16.879,79"</f>
        <v>16.879,79</v>
      </c>
      <c r="P693" s="6"/>
    </row>
    <row r="694" spans="2:16" ht="15.75" x14ac:dyDescent="0.25">
      <c r="B694" s="48"/>
      <c r="C694" s="48"/>
      <c r="D694" s="48"/>
      <c r="E694" s="48"/>
      <c r="F694" s="48"/>
      <c r="G694" s="48"/>
      <c r="H694" s="48"/>
      <c r="I694" s="48"/>
      <c r="J694" s="49"/>
      <c r="K694" s="48"/>
      <c r="L694" s="48"/>
      <c r="M694" s="48"/>
      <c r="N694" s="48"/>
      <c r="O694" s="49"/>
      <c r="P694" s="7"/>
    </row>
    <row r="695" spans="2:16" ht="15.75" x14ac:dyDescent="0.25">
      <c r="B695" s="48"/>
      <c r="C695" s="48"/>
      <c r="D695" s="48"/>
      <c r="E695" s="48"/>
      <c r="F695" s="48"/>
      <c r="G695" s="48"/>
      <c r="H695" s="48"/>
      <c r="I695" s="48"/>
      <c r="J695" s="49"/>
      <c r="K695" s="48"/>
      <c r="L695" s="48"/>
      <c r="M695" s="48"/>
      <c r="N695" s="48"/>
      <c r="O695" s="49"/>
      <c r="P695" s="7"/>
    </row>
    <row r="696" spans="2:16" ht="15.75" x14ac:dyDescent="0.25">
      <c r="B696" s="37"/>
      <c r="C696" s="37"/>
      <c r="D696" s="37"/>
      <c r="E696" s="37"/>
      <c r="F696" s="37"/>
      <c r="G696" s="37"/>
      <c r="H696" s="37"/>
      <c r="I696" s="37"/>
      <c r="J696" s="39"/>
      <c r="K696" s="37"/>
      <c r="L696" s="37"/>
      <c r="M696" s="37"/>
      <c r="N696" s="37"/>
      <c r="O696" s="39"/>
      <c r="P696" s="8"/>
    </row>
    <row r="697" spans="2:16" ht="63" x14ac:dyDescent="0.25">
      <c r="B697" s="2">
        <v>474</v>
      </c>
      <c r="C697" s="2" t="str">
        <f>"38-15/NOS-21/14"</f>
        <v>38-15/NOS-21/14</v>
      </c>
      <c r="D697" s="2" t="s">
        <v>16</v>
      </c>
      <c r="E697" s="2" t="s">
        <v>690</v>
      </c>
      <c r="F697" s="2" t="s">
        <v>1057</v>
      </c>
      <c r="G697" s="2" t="str">
        <f>"38-15/NOS-21/14"</f>
        <v>38-15/NOS-21/14</v>
      </c>
      <c r="H697" s="2" t="str">
        <f t="shared" ref="H697:H703" si="11">"Ugovor na temelju okvirnog sporazuma"</f>
        <v>Ugovor na temelju okvirnog sporazuma</v>
      </c>
      <c r="I697" s="2" t="s">
        <v>19</v>
      </c>
      <c r="J697" s="3" t="str">
        <f>"60.043,00"</f>
        <v>60.043,00</v>
      </c>
      <c r="K697" s="2" t="s">
        <v>155</v>
      </c>
      <c r="L697" s="2" t="s">
        <v>934</v>
      </c>
      <c r="M697" s="2" t="s">
        <v>944</v>
      </c>
      <c r="N697" s="2" t="str">
        <f>"14.01.2016"</f>
        <v>14.01.2016</v>
      </c>
      <c r="O697" s="3" t="str">
        <f>"18.725,03"</f>
        <v>18.725,03</v>
      </c>
      <c r="P697" s="4"/>
    </row>
    <row r="698" spans="2:16" ht="78.75" x14ac:dyDescent="0.25">
      <c r="B698" s="2">
        <v>475</v>
      </c>
      <c r="C698" s="2" t="str">
        <f>"5-15/NOS-92/14"</f>
        <v>5-15/NOS-92/14</v>
      </c>
      <c r="D698" s="2" t="s">
        <v>16</v>
      </c>
      <c r="E698" s="2" t="s">
        <v>690</v>
      </c>
      <c r="F698" s="2" t="s">
        <v>1058</v>
      </c>
      <c r="G698" s="2" t="str">
        <f>"5-15/NOS-92/14"</f>
        <v>5-15/NOS-92/14</v>
      </c>
      <c r="H698" s="2" t="str">
        <f t="shared" si="11"/>
        <v>Ugovor na temelju okvirnog sporazuma</v>
      </c>
      <c r="I698" s="2" t="s">
        <v>19</v>
      </c>
      <c r="J698" s="3" t="str">
        <f>"341.680,00"</f>
        <v>341.680,00</v>
      </c>
      <c r="K698" s="2" t="s">
        <v>514</v>
      </c>
      <c r="L698" s="2" t="s">
        <v>736</v>
      </c>
      <c r="M698" s="2" t="s">
        <v>859</v>
      </c>
      <c r="N698" s="2" t="str">
        <f>"07.10.2015"</f>
        <v>07.10.2015</v>
      </c>
      <c r="O698" s="3" t="str">
        <f>"306.615,00"</f>
        <v>306.615,00</v>
      </c>
      <c r="P698" s="4"/>
    </row>
    <row r="699" spans="2:16" ht="94.5" x14ac:dyDescent="0.25">
      <c r="B699" s="2">
        <v>476</v>
      </c>
      <c r="C699" s="2" t="str">
        <f>"24-15/NOS-55/15"</f>
        <v>24-15/NOS-55/15</v>
      </c>
      <c r="D699" s="2" t="s">
        <v>16</v>
      </c>
      <c r="E699" s="2" t="s">
        <v>690</v>
      </c>
      <c r="F699" s="2" t="s">
        <v>1059</v>
      </c>
      <c r="G699" s="2" t="str">
        <f>"24-15/NOS-55/15"</f>
        <v>24-15/NOS-55/15</v>
      </c>
      <c r="H699" s="2" t="str">
        <f t="shared" si="11"/>
        <v>Ugovor na temelju okvirnog sporazuma</v>
      </c>
      <c r="I699" s="2" t="s">
        <v>19</v>
      </c>
      <c r="J699" s="3" t="str">
        <f>"1.858,62"</f>
        <v>1.858,62</v>
      </c>
      <c r="K699" s="2" t="s">
        <v>657</v>
      </c>
      <c r="L699" s="2" t="s">
        <v>982</v>
      </c>
      <c r="M699" s="2" t="s">
        <v>223</v>
      </c>
      <c r="N699" s="2" t="str">
        <f>"30.12.2015"</f>
        <v>30.12.2015</v>
      </c>
      <c r="O699" s="3" t="str">
        <f>"833,98"</f>
        <v>833,98</v>
      </c>
      <c r="P699" s="4"/>
    </row>
    <row r="700" spans="2:16" s="15" customFormat="1" ht="63" x14ac:dyDescent="0.25">
      <c r="B700" s="12">
        <v>477</v>
      </c>
      <c r="C700" s="12" t="str">
        <f>"2-15/NOS-55/15"</f>
        <v>2-15/NOS-55/15</v>
      </c>
      <c r="D700" s="12" t="s">
        <v>85</v>
      </c>
      <c r="E700" s="12" t="s">
        <v>690</v>
      </c>
      <c r="F700" s="12" t="s">
        <v>1060</v>
      </c>
      <c r="G700" s="12" t="str">
        <f>"2-15/NOS-55/15"</f>
        <v>2-15/NOS-55/15</v>
      </c>
      <c r="H700" s="12" t="str">
        <f t="shared" si="11"/>
        <v>Ugovor na temelju okvirnog sporazuma</v>
      </c>
      <c r="I700" s="12" t="s">
        <v>19</v>
      </c>
      <c r="J700" s="13" t="str">
        <f>"5.913,79"</f>
        <v>5.913,79</v>
      </c>
      <c r="K700" s="12" t="s">
        <v>167</v>
      </c>
      <c r="L700" s="12" t="s">
        <v>167</v>
      </c>
      <c r="M700" s="12" t="s">
        <v>223</v>
      </c>
      <c r="N700" s="12" t="str">
        <f>"23.09.2015"</f>
        <v>23.09.2015</v>
      </c>
      <c r="O700" s="23">
        <v>4802.4799999999996</v>
      </c>
      <c r="P700" s="12"/>
    </row>
    <row r="701" spans="2:16" ht="126" x14ac:dyDescent="0.25">
      <c r="B701" s="2">
        <v>478</v>
      </c>
      <c r="C701" s="2" t="str">
        <f>"2-15/NOS-12-C/14"</f>
        <v>2-15/NOS-12-C/14</v>
      </c>
      <c r="D701" s="2" t="s">
        <v>16</v>
      </c>
      <c r="E701" s="2" t="s">
        <v>690</v>
      </c>
      <c r="F701" s="2" t="s">
        <v>1061</v>
      </c>
      <c r="G701" s="2" t="str">
        <f>"2-15/NOS-12-C/14"</f>
        <v>2-15/NOS-12-C/14</v>
      </c>
      <c r="H701" s="2" t="str">
        <f t="shared" si="11"/>
        <v>Ugovor na temelju okvirnog sporazuma</v>
      </c>
      <c r="I701" s="2" t="s">
        <v>19</v>
      </c>
      <c r="J701" s="3" t="str">
        <f>"1.123.750,00"</f>
        <v>1.123.750,00</v>
      </c>
      <c r="K701" s="2" t="s">
        <v>225</v>
      </c>
      <c r="L701" s="2" t="s">
        <v>526</v>
      </c>
      <c r="M701" s="2" t="s">
        <v>841</v>
      </c>
      <c r="N701" s="2" t="str">
        <f>"13.01.2016"</f>
        <v>13.01.2016</v>
      </c>
      <c r="O701" s="3" t="str">
        <f>"37.599,05"</f>
        <v>37.599,05</v>
      </c>
      <c r="P701" s="4"/>
    </row>
    <row r="702" spans="2:16" ht="94.5" x14ac:dyDescent="0.25">
      <c r="B702" s="2">
        <v>479</v>
      </c>
      <c r="C702" s="2" t="str">
        <f>"1-15/NOS-210-E/13"</f>
        <v>1-15/NOS-210-E/13</v>
      </c>
      <c r="D702" s="2" t="s">
        <v>85</v>
      </c>
      <c r="E702" s="2" t="s">
        <v>690</v>
      </c>
      <c r="F702" s="2" t="s">
        <v>1062</v>
      </c>
      <c r="G702" s="2" t="str">
        <f>"1-15/NOS-210-E/13"</f>
        <v>1-15/NOS-210-E/13</v>
      </c>
      <c r="H702" s="2" t="str">
        <f t="shared" si="11"/>
        <v>Ugovor na temelju okvirnog sporazuma</v>
      </c>
      <c r="I702" s="2" t="s">
        <v>19</v>
      </c>
      <c r="J702" s="3" t="str">
        <f>"752.893,39"</f>
        <v>752.893,39</v>
      </c>
      <c r="K702" s="2" t="s">
        <v>1063</v>
      </c>
      <c r="L702" s="2" t="s">
        <v>408</v>
      </c>
      <c r="M702" s="2" t="s">
        <v>1064</v>
      </c>
      <c r="N702" s="2" t="str">
        <f>"16.11.2015"</f>
        <v>16.11.2015</v>
      </c>
      <c r="O702" s="3" t="str">
        <f>"752.893,39"</f>
        <v>752.893,39</v>
      </c>
      <c r="P702" s="4"/>
    </row>
    <row r="703" spans="2:16" ht="15.75" x14ac:dyDescent="0.25">
      <c r="B703" s="36">
        <v>480</v>
      </c>
      <c r="C703" s="36" t="str">
        <f>"13-15/NOS-55/15"</f>
        <v>13-15/NOS-55/15</v>
      </c>
      <c r="D703" s="36" t="s">
        <v>284</v>
      </c>
      <c r="E703" s="36" t="s">
        <v>690</v>
      </c>
      <c r="F703" s="36" t="s">
        <v>1065</v>
      </c>
      <c r="G703" s="36" t="str">
        <f>"13-15/NOS-55/15"</f>
        <v>13-15/NOS-55/15</v>
      </c>
      <c r="H703" s="36" t="str">
        <f t="shared" si="11"/>
        <v>Ugovor na temelju okvirnog sporazuma</v>
      </c>
      <c r="I703" s="36" t="s">
        <v>19</v>
      </c>
      <c r="J703" s="38" t="str">
        <f>"943,60"</f>
        <v>943,60</v>
      </c>
      <c r="K703" s="36" t="s">
        <v>1066</v>
      </c>
      <c r="L703" s="36" t="s">
        <v>982</v>
      </c>
      <c r="M703" s="36" t="s">
        <v>223</v>
      </c>
      <c r="N703" s="36" t="str">
        <f>"03.11.2015"</f>
        <v>03.11.2015</v>
      </c>
      <c r="O703" s="38" t="str">
        <f>"675,52"</f>
        <v>675,52</v>
      </c>
      <c r="P703" s="6"/>
    </row>
    <row r="704" spans="2:16" ht="15.75" x14ac:dyDescent="0.25">
      <c r="B704" s="37"/>
      <c r="C704" s="37"/>
      <c r="D704" s="37"/>
      <c r="E704" s="37"/>
      <c r="F704" s="37"/>
      <c r="G704" s="37"/>
      <c r="H704" s="37"/>
      <c r="I704" s="37"/>
      <c r="J704" s="39"/>
      <c r="K704" s="37"/>
      <c r="L704" s="37"/>
      <c r="M704" s="37"/>
      <c r="N704" s="37"/>
      <c r="O704" s="39"/>
      <c r="P704" s="8"/>
    </row>
    <row r="705" spans="2:16" ht="63" x14ac:dyDescent="0.25">
      <c r="B705" s="2">
        <v>481</v>
      </c>
      <c r="C705" s="2" t="str">
        <f>"51-15/NOS-136/13"</f>
        <v>51-15/NOS-136/13</v>
      </c>
      <c r="D705" s="2" t="s">
        <v>85</v>
      </c>
      <c r="E705" s="2" t="s">
        <v>690</v>
      </c>
      <c r="F705" s="2" t="s">
        <v>1067</v>
      </c>
      <c r="G705" s="2" t="str">
        <f>"51-15/NOS-136/13"</f>
        <v>51-15/NOS-136/13</v>
      </c>
      <c r="H705" s="2" t="str">
        <f t="shared" ref="H705:H711" si="12">"Ugovor na temelju okvirnog sporazuma"</f>
        <v>Ugovor na temelju okvirnog sporazuma</v>
      </c>
      <c r="I705" s="2" t="s">
        <v>19</v>
      </c>
      <c r="J705" s="3" t="str">
        <f>"163.230,00"</f>
        <v>163.230,00</v>
      </c>
      <c r="K705" s="2" t="s">
        <v>443</v>
      </c>
      <c r="L705" s="2" t="s">
        <v>926</v>
      </c>
      <c r="M705" s="2" t="s">
        <v>84</v>
      </c>
      <c r="N705" s="2" t="str">
        <f>"13.01.2016"</f>
        <v>13.01.2016</v>
      </c>
      <c r="O705" s="3" t="str">
        <f>"14.664,00"</f>
        <v>14.664,00</v>
      </c>
      <c r="P705" s="4"/>
    </row>
    <row r="706" spans="2:16" ht="63" x14ac:dyDescent="0.25">
      <c r="B706" s="2">
        <v>482</v>
      </c>
      <c r="C706" s="2" t="str">
        <f>"1-15/NOS-38/15"</f>
        <v>1-15/NOS-38/15</v>
      </c>
      <c r="D706" s="2" t="s">
        <v>16</v>
      </c>
      <c r="E706" s="2" t="s">
        <v>690</v>
      </c>
      <c r="F706" s="2" t="s">
        <v>1068</v>
      </c>
      <c r="G706" s="2" t="str">
        <f>"1-15/NOS-38/15"</f>
        <v>1-15/NOS-38/15</v>
      </c>
      <c r="H706" s="2" t="str">
        <f t="shared" si="12"/>
        <v>Ugovor na temelju okvirnog sporazuma</v>
      </c>
      <c r="I706" s="2" t="s">
        <v>19</v>
      </c>
      <c r="J706" s="3" t="str">
        <f>"2.498.414,40"</f>
        <v>2.498.414,40</v>
      </c>
      <c r="K706" s="2" t="s">
        <v>1069</v>
      </c>
      <c r="L706" s="2" t="s">
        <v>1028</v>
      </c>
      <c r="M706" s="2" t="s">
        <v>205</v>
      </c>
      <c r="N706" s="2" t="s">
        <v>23</v>
      </c>
      <c r="O706" s="3" t="str">
        <f>"0,00"</f>
        <v>0,00</v>
      </c>
      <c r="P706" s="4"/>
    </row>
    <row r="707" spans="2:16" ht="63" x14ac:dyDescent="0.25">
      <c r="B707" s="2">
        <v>483</v>
      </c>
      <c r="C707" s="2" t="str">
        <f>"20-15/NOS-55/15"</f>
        <v>20-15/NOS-55/15</v>
      </c>
      <c r="D707" s="2" t="s">
        <v>16</v>
      </c>
      <c r="E707" s="2" t="s">
        <v>690</v>
      </c>
      <c r="F707" s="2" t="s">
        <v>1070</v>
      </c>
      <c r="G707" s="2" t="str">
        <f>"20-15/NOS-55/15"</f>
        <v>20-15/NOS-55/15</v>
      </c>
      <c r="H707" s="2" t="str">
        <f t="shared" si="12"/>
        <v>Ugovor na temelju okvirnog sporazuma</v>
      </c>
      <c r="I707" s="2" t="s">
        <v>19</v>
      </c>
      <c r="J707" s="3" t="str">
        <f>"1.197,33"</f>
        <v>1.197,33</v>
      </c>
      <c r="K707" s="2" t="s">
        <v>1071</v>
      </c>
      <c r="L707" s="2" t="s">
        <v>982</v>
      </c>
      <c r="M707" s="2" t="s">
        <v>223</v>
      </c>
      <c r="N707" s="2" t="str">
        <f>"28.12.2015"</f>
        <v>28.12.2015</v>
      </c>
      <c r="O707" s="3" t="str">
        <f>"700,38"</f>
        <v>700,38</v>
      </c>
      <c r="P707" s="4"/>
    </row>
    <row r="708" spans="2:16" ht="63" x14ac:dyDescent="0.25">
      <c r="B708" s="2">
        <v>484</v>
      </c>
      <c r="C708" s="2" t="str">
        <f>"6-15/NOS-122/14"</f>
        <v>6-15/NOS-122/14</v>
      </c>
      <c r="D708" s="2" t="s">
        <v>16</v>
      </c>
      <c r="E708" s="2" t="s">
        <v>690</v>
      </c>
      <c r="F708" s="2" t="s">
        <v>1072</v>
      </c>
      <c r="G708" s="2" t="str">
        <f>"6-15/NOS-122/14"</f>
        <v>6-15/NOS-122/14</v>
      </c>
      <c r="H708" s="2" t="str">
        <f t="shared" si="12"/>
        <v>Ugovor na temelju okvirnog sporazuma</v>
      </c>
      <c r="I708" s="2" t="s">
        <v>19</v>
      </c>
      <c r="J708" s="3" t="str">
        <f>"489.354,60"</f>
        <v>489.354,60</v>
      </c>
      <c r="K708" s="2" t="s">
        <v>460</v>
      </c>
      <c r="L708" s="2" t="s">
        <v>934</v>
      </c>
      <c r="M708" s="2" t="s">
        <v>61</v>
      </c>
      <c r="N708" s="2" t="str">
        <f>"30.12.2015"</f>
        <v>30.12.2015</v>
      </c>
      <c r="O708" s="3" t="str">
        <f>"67.852,60"</f>
        <v>67.852,60</v>
      </c>
      <c r="P708" s="4"/>
    </row>
    <row r="709" spans="2:16" ht="63" x14ac:dyDescent="0.25">
      <c r="B709" s="2">
        <v>485</v>
      </c>
      <c r="C709" s="2" t="str">
        <f>"1-15/NOS-30/15"</f>
        <v>1-15/NOS-30/15</v>
      </c>
      <c r="D709" s="2" t="s">
        <v>362</v>
      </c>
      <c r="E709" s="2" t="s">
        <v>690</v>
      </c>
      <c r="F709" s="2" t="s">
        <v>1073</v>
      </c>
      <c r="G709" s="2" t="str">
        <f>"1-15/NOS-30/15"</f>
        <v>1-15/NOS-30/15</v>
      </c>
      <c r="H709" s="2" t="str">
        <f t="shared" si="12"/>
        <v>Ugovor na temelju okvirnog sporazuma</v>
      </c>
      <c r="I709" s="2" t="s">
        <v>19</v>
      </c>
      <c r="J709" s="3" t="str">
        <f>"2.903.044,00"</f>
        <v>2.903.044,00</v>
      </c>
      <c r="K709" s="2" t="s">
        <v>456</v>
      </c>
      <c r="L709" s="2" t="s">
        <v>1074</v>
      </c>
      <c r="M709" s="2" t="s">
        <v>366</v>
      </c>
      <c r="N709" s="2" t="s">
        <v>23</v>
      </c>
      <c r="O709" s="3" t="str">
        <f>"0,00"</f>
        <v>0,00</v>
      </c>
      <c r="P709" s="4"/>
    </row>
    <row r="710" spans="2:16" ht="94.5" x14ac:dyDescent="0.25">
      <c r="B710" s="2">
        <v>486</v>
      </c>
      <c r="C710" s="2" t="str">
        <f>"25-15/NOS-55/15"</f>
        <v>25-15/NOS-55/15</v>
      </c>
      <c r="D710" s="2" t="s">
        <v>16</v>
      </c>
      <c r="E710" s="2" t="s">
        <v>690</v>
      </c>
      <c r="F710" s="2" t="s">
        <v>1075</v>
      </c>
      <c r="G710" s="2" t="str">
        <f>"25-15/NOS-55/15"</f>
        <v>25-15/NOS-55/15</v>
      </c>
      <c r="H710" s="2" t="str">
        <f t="shared" si="12"/>
        <v>Ugovor na temelju okvirnog sporazuma</v>
      </c>
      <c r="I710" s="2" t="s">
        <v>19</v>
      </c>
      <c r="J710" s="3" t="str">
        <f>"130.562,72"</f>
        <v>130.562,72</v>
      </c>
      <c r="K710" s="2" t="s">
        <v>1076</v>
      </c>
      <c r="L710" s="2" t="s">
        <v>982</v>
      </c>
      <c r="M710" s="2" t="s">
        <v>223</v>
      </c>
      <c r="N710" s="2" t="str">
        <f>"14.01.2016"</f>
        <v>14.01.2016</v>
      </c>
      <c r="O710" s="3" t="str">
        <f>"38.495,98"</f>
        <v>38.495,98</v>
      </c>
      <c r="P710" s="4"/>
    </row>
    <row r="711" spans="2:16" ht="15.75" x14ac:dyDescent="0.25">
      <c r="B711" s="36">
        <v>487</v>
      </c>
      <c r="C711" s="36" t="str">
        <f>"23-15/NOS-55/15"</f>
        <v>23-15/NOS-55/15</v>
      </c>
      <c r="D711" s="36" t="s">
        <v>16</v>
      </c>
      <c r="E711" s="36" t="s">
        <v>690</v>
      </c>
      <c r="F711" s="36" t="s">
        <v>1077</v>
      </c>
      <c r="G711" s="36" t="str">
        <f>"23-15/NOS-55/15"</f>
        <v>23-15/NOS-55/15</v>
      </c>
      <c r="H711" s="36" t="str">
        <f t="shared" si="12"/>
        <v>Ugovor na temelju okvirnog sporazuma</v>
      </c>
      <c r="I711" s="36" t="s">
        <v>19</v>
      </c>
      <c r="J711" s="38" t="str">
        <f>"197.560,90"</f>
        <v>197.560,90</v>
      </c>
      <c r="K711" s="36" t="s">
        <v>1076</v>
      </c>
      <c r="L711" s="36" t="s">
        <v>982</v>
      </c>
      <c r="M711" s="36" t="s">
        <v>223</v>
      </c>
      <c r="N711" s="36" t="str">
        <f>"18.12.2015"</f>
        <v>18.12.2015</v>
      </c>
      <c r="O711" s="38" t="str">
        <f>"65.432,03"</f>
        <v>65.432,03</v>
      </c>
      <c r="P711" s="6"/>
    </row>
    <row r="712" spans="2:16" ht="15.75" x14ac:dyDescent="0.25">
      <c r="B712" s="48"/>
      <c r="C712" s="48"/>
      <c r="D712" s="48"/>
      <c r="E712" s="48"/>
      <c r="F712" s="48"/>
      <c r="G712" s="48"/>
      <c r="H712" s="48"/>
      <c r="I712" s="48"/>
      <c r="J712" s="49"/>
      <c r="K712" s="48"/>
      <c r="L712" s="48"/>
      <c r="M712" s="48"/>
      <c r="N712" s="48"/>
      <c r="O712" s="49"/>
      <c r="P712" s="7"/>
    </row>
    <row r="713" spans="2:16" ht="15.75" x14ac:dyDescent="0.25">
      <c r="B713" s="48"/>
      <c r="C713" s="48"/>
      <c r="D713" s="48"/>
      <c r="E713" s="48"/>
      <c r="F713" s="48"/>
      <c r="G713" s="48"/>
      <c r="H713" s="48"/>
      <c r="I713" s="48"/>
      <c r="J713" s="49"/>
      <c r="K713" s="48"/>
      <c r="L713" s="48"/>
      <c r="M713" s="48"/>
      <c r="N713" s="48"/>
      <c r="O713" s="49"/>
      <c r="P713" s="7"/>
    </row>
    <row r="714" spans="2:16" ht="15.75" x14ac:dyDescent="0.25">
      <c r="B714" s="37"/>
      <c r="C714" s="37"/>
      <c r="D714" s="37"/>
      <c r="E714" s="37"/>
      <c r="F714" s="37"/>
      <c r="G714" s="37"/>
      <c r="H714" s="37"/>
      <c r="I714" s="37"/>
      <c r="J714" s="39"/>
      <c r="K714" s="37"/>
      <c r="L714" s="37"/>
      <c r="M714" s="37"/>
      <c r="N714" s="37"/>
      <c r="O714" s="39"/>
      <c r="P714" s="8"/>
    </row>
    <row r="715" spans="2:16" ht="63" x14ac:dyDescent="0.25">
      <c r="B715" s="2">
        <v>488</v>
      </c>
      <c r="C715" s="2" t="str">
        <f>"1-15/NOS-40/15"</f>
        <v>1-15/NOS-40/15</v>
      </c>
      <c r="D715" s="2" t="s">
        <v>16</v>
      </c>
      <c r="E715" s="2" t="s">
        <v>690</v>
      </c>
      <c r="F715" s="2" t="s">
        <v>1078</v>
      </c>
      <c r="G715" s="2" t="str">
        <f>"1-15/NOS-40/15"</f>
        <v>1-15/NOS-40/15</v>
      </c>
      <c r="H715" s="2" t="str">
        <f t="shared" ref="H715:H755" si="13">"Ugovor na temelju okvirnog sporazuma"</f>
        <v>Ugovor na temelju okvirnog sporazuma</v>
      </c>
      <c r="I715" s="2" t="s">
        <v>19</v>
      </c>
      <c r="J715" s="3" t="str">
        <f>"800.000,00"</f>
        <v>800.000,00</v>
      </c>
      <c r="K715" s="2" t="s">
        <v>526</v>
      </c>
      <c r="L715" s="2" t="s">
        <v>934</v>
      </c>
      <c r="M715" s="2" t="s">
        <v>201</v>
      </c>
      <c r="N715" s="2" t="str">
        <f>"12.01.2016"</f>
        <v>12.01.2016</v>
      </c>
      <c r="O715" s="3" t="str">
        <f>"500.000,00"</f>
        <v>500.000,00</v>
      </c>
      <c r="P715" s="4"/>
    </row>
    <row r="716" spans="2:16" ht="63" x14ac:dyDescent="0.25">
      <c r="B716" s="2">
        <v>489</v>
      </c>
      <c r="C716" s="2" t="str">
        <f>"1-15/NOS-42/14"</f>
        <v>1-15/NOS-42/14</v>
      </c>
      <c r="D716" s="2" t="s">
        <v>16</v>
      </c>
      <c r="E716" s="2" t="s">
        <v>690</v>
      </c>
      <c r="F716" s="2" t="s">
        <v>1079</v>
      </c>
      <c r="G716" s="2" t="str">
        <f>"1-15/NOS-42/14"</f>
        <v>1-15/NOS-42/14</v>
      </c>
      <c r="H716" s="2" t="str">
        <f t="shared" si="13"/>
        <v>Ugovor na temelju okvirnog sporazuma</v>
      </c>
      <c r="I716" s="2" t="s">
        <v>19</v>
      </c>
      <c r="J716" s="3" t="str">
        <f>"239.100,00"</f>
        <v>239.100,00</v>
      </c>
      <c r="K716" s="2" t="s">
        <v>172</v>
      </c>
      <c r="L716" s="2" t="s">
        <v>408</v>
      </c>
      <c r="M716" s="2" t="s">
        <v>989</v>
      </c>
      <c r="N716" s="2" t="str">
        <f>"23.11.2015"</f>
        <v>23.11.2015</v>
      </c>
      <c r="O716" s="3" t="str">
        <f>"239.100,00"</f>
        <v>239.100,00</v>
      </c>
      <c r="P716" s="4"/>
    </row>
    <row r="717" spans="2:16" ht="78.75" x14ac:dyDescent="0.25">
      <c r="B717" s="2">
        <v>490</v>
      </c>
      <c r="C717" s="2" t="str">
        <f>"2-15/NOS-195-B/13"</f>
        <v>2-15/NOS-195-B/13</v>
      </c>
      <c r="D717" s="2" t="s">
        <v>16</v>
      </c>
      <c r="E717" s="2" t="s">
        <v>690</v>
      </c>
      <c r="F717" s="2" t="s">
        <v>1080</v>
      </c>
      <c r="G717" s="2" t="str">
        <f>"2-15/NOS-195-B/13"</f>
        <v>2-15/NOS-195-B/13</v>
      </c>
      <c r="H717" s="2" t="str">
        <f t="shared" si="13"/>
        <v>Ugovor na temelju okvirnog sporazuma</v>
      </c>
      <c r="I717" s="2" t="s">
        <v>19</v>
      </c>
      <c r="J717" s="3" t="str">
        <f>"1.899.172,50"</f>
        <v>1.899.172,50</v>
      </c>
      <c r="K717" s="2" t="s">
        <v>1081</v>
      </c>
      <c r="L717" s="2" t="s">
        <v>916</v>
      </c>
      <c r="M717" s="2" t="s">
        <v>209</v>
      </c>
      <c r="N717" s="2" t="str">
        <f>"14.01.2016"</f>
        <v>14.01.2016</v>
      </c>
      <c r="O717" s="3" t="str">
        <f>"1.160.823,87"</f>
        <v>1.160.823,87</v>
      </c>
      <c r="P717" s="4"/>
    </row>
    <row r="718" spans="2:16" ht="63" x14ac:dyDescent="0.25">
      <c r="B718" s="2">
        <v>491</v>
      </c>
      <c r="C718" s="2" t="str">
        <f>"12-15/NOS-55/15"</f>
        <v>12-15/NOS-55/15</v>
      </c>
      <c r="D718" s="2" t="s">
        <v>356</v>
      </c>
      <c r="E718" s="2" t="s">
        <v>690</v>
      </c>
      <c r="F718" s="2" t="s">
        <v>1082</v>
      </c>
      <c r="G718" s="2" t="str">
        <f>"12-15/NOS-55/15"</f>
        <v>12-15/NOS-55/15</v>
      </c>
      <c r="H718" s="2" t="str">
        <f t="shared" si="13"/>
        <v>Ugovor na temelju okvirnog sporazuma</v>
      </c>
      <c r="I718" s="2" t="s">
        <v>19</v>
      </c>
      <c r="J718" s="3" t="str">
        <f>"32.314,03"</f>
        <v>32.314,03</v>
      </c>
      <c r="K718" s="2" t="s">
        <v>953</v>
      </c>
      <c r="L718" s="2" t="s">
        <v>408</v>
      </c>
      <c r="M718" s="2" t="s">
        <v>223</v>
      </c>
      <c r="N718" s="2" t="s">
        <v>23</v>
      </c>
      <c r="O718" s="3" t="str">
        <f>"0,00"</f>
        <v>0,00</v>
      </c>
      <c r="P718" s="4"/>
    </row>
    <row r="719" spans="2:16" ht="63" x14ac:dyDescent="0.25">
      <c r="B719" s="2">
        <v>492</v>
      </c>
      <c r="C719" s="2" t="str">
        <f>"17-15/NOS-55/15"</f>
        <v>17-15/NOS-55/15</v>
      </c>
      <c r="D719" s="2" t="s">
        <v>85</v>
      </c>
      <c r="E719" s="2" t="s">
        <v>690</v>
      </c>
      <c r="F719" s="2" t="s">
        <v>1083</v>
      </c>
      <c r="G719" s="2" t="str">
        <f>"17-15/NOS-55/15"</f>
        <v>17-15/NOS-55/15</v>
      </c>
      <c r="H719" s="2" t="str">
        <f t="shared" si="13"/>
        <v>Ugovor na temelju okvirnog sporazuma</v>
      </c>
      <c r="I719" s="2" t="s">
        <v>19</v>
      </c>
      <c r="J719" s="3" t="str">
        <f>"32.898,67"</f>
        <v>32.898,67</v>
      </c>
      <c r="K719" s="2" t="s">
        <v>953</v>
      </c>
      <c r="L719" s="2" t="s">
        <v>408</v>
      </c>
      <c r="M719" s="2" t="s">
        <v>223</v>
      </c>
      <c r="N719" s="2" t="str">
        <f>"08.12.2015"</f>
        <v>08.12.2015</v>
      </c>
      <c r="O719" s="3" t="str">
        <f>"15.236,37"</f>
        <v>15.236,37</v>
      </c>
      <c r="P719" s="4"/>
    </row>
    <row r="720" spans="2:16" s="19" customFormat="1" ht="63" x14ac:dyDescent="0.25">
      <c r="B720" s="16">
        <v>493</v>
      </c>
      <c r="C720" s="16" t="str">
        <f>"15-15/NOS-55/15"</f>
        <v>15-15/NOS-55/15</v>
      </c>
      <c r="D720" s="16" t="s">
        <v>85</v>
      </c>
      <c r="E720" s="16" t="s">
        <v>690</v>
      </c>
      <c r="F720" s="16" t="s">
        <v>1084</v>
      </c>
      <c r="G720" s="16" t="str">
        <f>"15-15/NOS-55/15"</f>
        <v>15-15/NOS-55/15</v>
      </c>
      <c r="H720" s="16" t="str">
        <f t="shared" si="13"/>
        <v>Ugovor na temelju okvirnog sporazuma</v>
      </c>
      <c r="I720" s="16" t="s">
        <v>19</v>
      </c>
      <c r="J720" s="17" t="str">
        <f>"35.302,54"</f>
        <v>35.302,54</v>
      </c>
      <c r="K720" s="16" t="s">
        <v>953</v>
      </c>
      <c r="L720" s="16" t="s">
        <v>408</v>
      </c>
      <c r="M720" s="16" t="s">
        <v>223</v>
      </c>
      <c r="N720" s="16" t="str">
        <f>"08.12.2015"</f>
        <v>08.12.2015</v>
      </c>
      <c r="O720" s="17" t="str">
        <f>"35.554,74"</f>
        <v>35.554,74</v>
      </c>
      <c r="P720" s="16" t="s">
        <v>880</v>
      </c>
    </row>
    <row r="721" spans="2:16" s="15" customFormat="1" ht="63" x14ac:dyDescent="0.25">
      <c r="B721" s="12">
        <v>494</v>
      </c>
      <c r="C721" s="12" t="str">
        <f>"18-15/NOS-55/15"</f>
        <v>18-15/NOS-55/15</v>
      </c>
      <c r="D721" s="12" t="s">
        <v>85</v>
      </c>
      <c r="E721" s="12" t="s">
        <v>690</v>
      </c>
      <c r="F721" s="12" t="s">
        <v>1085</v>
      </c>
      <c r="G721" s="12" t="str">
        <f>"18-15/NOS-55/15"</f>
        <v>18-15/NOS-55/15</v>
      </c>
      <c r="H721" s="12" t="str">
        <f t="shared" si="13"/>
        <v>Ugovor na temelju okvirnog sporazuma</v>
      </c>
      <c r="I721" s="12" t="s">
        <v>19</v>
      </c>
      <c r="J721" s="13" t="str">
        <f>"3.060,88"</f>
        <v>3.060,88</v>
      </c>
      <c r="K721" s="12" t="s">
        <v>953</v>
      </c>
      <c r="L721" s="12" t="s">
        <v>408</v>
      </c>
      <c r="M721" s="12" t="s">
        <v>223</v>
      </c>
      <c r="N721" s="12" t="str">
        <f>"04.12.2015"</f>
        <v>04.12.2015</v>
      </c>
      <c r="O721" s="23">
        <v>3017.99</v>
      </c>
      <c r="P721" s="12"/>
    </row>
    <row r="722" spans="2:16" ht="63" x14ac:dyDescent="0.25">
      <c r="B722" s="2">
        <v>495</v>
      </c>
      <c r="C722" s="2" t="str">
        <f>"1-15/NOS-9/15"</f>
        <v>1-15/NOS-9/15</v>
      </c>
      <c r="D722" s="2" t="s">
        <v>284</v>
      </c>
      <c r="E722" s="2" t="s">
        <v>690</v>
      </c>
      <c r="F722" s="2" t="s">
        <v>1086</v>
      </c>
      <c r="G722" s="2" t="str">
        <f>"1-15/NOS-9/15"</f>
        <v>1-15/NOS-9/15</v>
      </c>
      <c r="H722" s="2" t="str">
        <f t="shared" si="13"/>
        <v>Ugovor na temelju okvirnog sporazuma</v>
      </c>
      <c r="I722" s="2" t="s">
        <v>19</v>
      </c>
      <c r="J722" s="3" t="str">
        <f>"249.750,00"</f>
        <v>249.750,00</v>
      </c>
      <c r="K722" s="2" t="s">
        <v>1087</v>
      </c>
      <c r="L722" s="2" t="s">
        <v>982</v>
      </c>
      <c r="M722" s="2" t="s">
        <v>197</v>
      </c>
      <c r="N722" s="2" t="str">
        <f>"07.01.2016"</f>
        <v>07.01.2016</v>
      </c>
      <c r="O722" s="3" t="str">
        <f>"213.750,00"</f>
        <v>213.750,00</v>
      </c>
      <c r="P722" s="4"/>
    </row>
    <row r="723" spans="2:16" ht="63" x14ac:dyDescent="0.25">
      <c r="B723" s="2">
        <v>496</v>
      </c>
      <c r="C723" s="2" t="str">
        <f>"45-15/NOS-136/13"</f>
        <v>45-15/NOS-136/13</v>
      </c>
      <c r="D723" s="2" t="s">
        <v>16</v>
      </c>
      <c r="E723" s="2" t="s">
        <v>690</v>
      </c>
      <c r="F723" s="2" t="s">
        <v>1088</v>
      </c>
      <c r="G723" s="2" t="str">
        <f>"45-15/NOS-136/13"</f>
        <v>45-15/NOS-136/13</v>
      </c>
      <c r="H723" s="2" t="str">
        <f t="shared" si="13"/>
        <v>Ugovor na temelju okvirnog sporazuma</v>
      </c>
      <c r="I723" s="2" t="s">
        <v>19</v>
      </c>
      <c r="J723" s="3" t="str">
        <f>"110.680,73"</f>
        <v>110.680,73</v>
      </c>
      <c r="K723" s="2" t="s">
        <v>1087</v>
      </c>
      <c r="L723" s="2" t="s">
        <v>926</v>
      </c>
      <c r="M723" s="2" t="s">
        <v>44</v>
      </c>
      <c r="N723" s="2" t="str">
        <f>"12.01.2016"</f>
        <v>12.01.2016</v>
      </c>
      <c r="O723" s="3" t="str">
        <f>"50.070,65"</f>
        <v>50.070,65</v>
      </c>
      <c r="P723" s="2"/>
    </row>
    <row r="724" spans="2:16" s="19" customFormat="1" ht="63" x14ac:dyDescent="0.25">
      <c r="B724" s="16">
        <v>497</v>
      </c>
      <c r="C724" s="16" t="str">
        <f>"2-15/NOS-119/14"</f>
        <v>2-15/NOS-119/14</v>
      </c>
      <c r="D724" s="16" t="s">
        <v>16</v>
      </c>
      <c r="E724" s="16" t="s">
        <v>690</v>
      </c>
      <c r="F724" s="16" t="s">
        <v>1044</v>
      </c>
      <c r="G724" s="16" t="str">
        <f>"2-15/NOS-119/14"</f>
        <v>2-15/NOS-119/14</v>
      </c>
      <c r="H724" s="16" t="str">
        <f t="shared" si="13"/>
        <v>Ugovor na temelju okvirnog sporazuma</v>
      </c>
      <c r="I724" s="16" t="s">
        <v>19</v>
      </c>
      <c r="J724" s="17" t="str">
        <f>"387.000,00"</f>
        <v>387.000,00</v>
      </c>
      <c r="K724" s="16" t="s">
        <v>1087</v>
      </c>
      <c r="L724" s="16" t="s">
        <v>1089</v>
      </c>
      <c r="M724" s="16" t="s">
        <v>98</v>
      </c>
      <c r="N724" s="16" t="str">
        <f>"21.09.2015"</f>
        <v>21.09.2015</v>
      </c>
      <c r="O724" s="17" t="str">
        <f>"398.377,80"</f>
        <v>398.377,80</v>
      </c>
      <c r="P724" s="16" t="s">
        <v>699</v>
      </c>
    </row>
    <row r="725" spans="2:16" ht="78.75" x14ac:dyDescent="0.25">
      <c r="B725" s="2">
        <v>498</v>
      </c>
      <c r="C725" s="2" t="str">
        <f>"1-15/NOS-84/15"</f>
        <v>1-15/NOS-84/15</v>
      </c>
      <c r="D725" s="2" t="s">
        <v>16</v>
      </c>
      <c r="E725" s="2" t="s">
        <v>690</v>
      </c>
      <c r="F725" s="2" t="s">
        <v>1090</v>
      </c>
      <c r="G725" s="2" t="str">
        <f>"1-15/NOS-84/15"</f>
        <v>1-15/NOS-84/15</v>
      </c>
      <c r="H725" s="2" t="str">
        <f t="shared" si="13"/>
        <v>Ugovor na temelju okvirnog sporazuma</v>
      </c>
      <c r="I725" s="2" t="s">
        <v>19</v>
      </c>
      <c r="J725" s="3" t="str">
        <f>"878.000,00"</f>
        <v>878.000,00</v>
      </c>
      <c r="K725" s="2" t="s">
        <v>1087</v>
      </c>
      <c r="L725" s="2" t="s">
        <v>408</v>
      </c>
      <c r="M725" s="2" t="s">
        <v>138</v>
      </c>
      <c r="N725" s="2" t="str">
        <f>"29.12.2015"</f>
        <v>29.12.2015</v>
      </c>
      <c r="O725" s="3" t="str">
        <f>"811.047,05"</f>
        <v>811.047,05</v>
      </c>
      <c r="P725" s="4"/>
    </row>
    <row r="726" spans="2:16" ht="78.75" x14ac:dyDescent="0.25">
      <c r="B726" s="2">
        <v>499</v>
      </c>
      <c r="C726" s="2" t="str">
        <f>"2-15/NOS-103/15"</f>
        <v>2-15/NOS-103/15</v>
      </c>
      <c r="D726" s="2" t="s">
        <v>85</v>
      </c>
      <c r="E726" s="2" t="s">
        <v>690</v>
      </c>
      <c r="F726" s="2" t="s">
        <v>1091</v>
      </c>
      <c r="G726" s="2" t="str">
        <f>"2-15/NOS-103/15"</f>
        <v>2-15/NOS-103/15</v>
      </c>
      <c r="H726" s="2" t="str">
        <f t="shared" si="13"/>
        <v>Ugovor na temelju okvirnog sporazuma</v>
      </c>
      <c r="I726" s="2" t="s">
        <v>19</v>
      </c>
      <c r="J726" s="3" t="str">
        <f>"814.800,00"</f>
        <v>814.800,00</v>
      </c>
      <c r="K726" s="2" t="s">
        <v>1092</v>
      </c>
      <c r="L726" s="2" t="s">
        <v>1093</v>
      </c>
      <c r="M726" s="2" t="s">
        <v>560</v>
      </c>
      <c r="N726" s="2" t="str">
        <f>"28.12.2015"</f>
        <v>28.12.2015</v>
      </c>
      <c r="O726" s="3" t="str">
        <f>"135.015,80"</f>
        <v>135.015,80</v>
      </c>
      <c r="P726" s="2"/>
    </row>
    <row r="727" spans="2:16" ht="94.5" x14ac:dyDescent="0.25">
      <c r="B727" s="2">
        <v>500</v>
      </c>
      <c r="C727" s="2" t="str">
        <f>"3-15/NOS-103/15"</f>
        <v>3-15/NOS-103/15</v>
      </c>
      <c r="D727" s="2" t="s">
        <v>16</v>
      </c>
      <c r="E727" s="2" t="s">
        <v>690</v>
      </c>
      <c r="F727" s="2" t="s">
        <v>1094</v>
      </c>
      <c r="G727" s="2" t="str">
        <f>"3-15/NOS-103/15"</f>
        <v>3-15/NOS-103/15</v>
      </c>
      <c r="H727" s="2" t="str">
        <f t="shared" si="13"/>
        <v>Ugovor na temelju okvirnog sporazuma</v>
      </c>
      <c r="I727" s="2" t="s">
        <v>19</v>
      </c>
      <c r="J727" s="3" t="str">
        <f>"101.520,00"</f>
        <v>101.520,00</v>
      </c>
      <c r="K727" s="2" t="s">
        <v>1092</v>
      </c>
      <c r="L727" s="2" t="s">
        <v>1093</v>
      </c>
      <c r="M727" s="2" t="s">
        <v>560</v>
      </c>
      <c r="N727" s="2" t="str">
        <f>"13.01.2016"</f>
        <v>13.01.2016</v>
      </c>
      <c r="O727" s="3" t="str">
        <f>"11.671,00"</f>
        <v>11.671,00</v>
      </c>
      <c r="P727" s="4"/>
    </row>
    <row r="728" spans="2:16" ht="63" x14ac:dyDescent="0.25">
      <c r="B728" s="2">
        <v>501</v>
      </c>
      <c r="C728" s="2" t="str">
        <f>"34-15/NOS-53-ZGH/14"</f>
        <v>34-15/NOS-53-ZGH/14</v>
      </c>
      <c r="D728" s="2" t="s">
        <v>16</v>
      </c>
      <c r="E728" s="2" t="s">
        <v>690</v>
      </c>
      <c r="F728" s="2" t="s">
        <v>1095</v>
      </c>
      <c r="G728" s="2" t="str">
        <f>"34-15/NOS-53-ZGH/14"</f>
        <v>34-15/NOS-53-ZGH/14</v>
      </c>
      <c r="H728" s="2" t="str">
        <f t="shared" si="13"/>
        <v>Ugovor na temelju okvirnog sporazuma</v>
      </c>
      <c r="I728" s="2" t="s">
        <v>19</v>
      </c>
      <c r="J728" s="3" t="str">
        <f>"281.340,20"</f>
        <v>281.340,20</v>
      </c>
      <c r="K728" s="2" t="s">
        <v>1096</v>
      </c>
      <c r="L728" s="2" t="s">
        <v>926</v>
      </c>
      <c r="M728" s="2" t="s">
        <v>1097</v>
      </c>
      <c r="N728" s="2" t="str">
        <f>"29.12.2015"</f>
        <v>29.12.2015</v>
      </c>
      <c r="O728" s="3" t="str">
        <f>"215.325,00"</f>
        <v>215.325,00</v>
      </c>
      <c r="P728" s="4"/>
    </row>
    <row r="729" spans="2:16" ht="63" x14ac:dyDescent="0.25">
      <c r="B729" s="2">
        <v>502</v>
      </c>
      <c r="C729" s="2" t="str">
        <f>"14-15/NOS-195-A/13"</f>
        <v>14-15/NOS-195-A/13</v>
      </c>
      <c r="D729" s="2" t="s">
        <v>362</v>
      </c>
      <c r="E729" s="2" t="s">
        <v>690</v>
      </c>
      <c r="F729" s="2" t="s">
        <v>1098</v>
      </c>
      <c r="G729" s="2" t="str">
        <f>"14-15/NOS-195-A/13"</f>
        <v>14-15/NOS-195-A/13</v>
      </c>
      <c r="H729" s="2" t="str">
        <f t="shared" si="13"/>
        <v>Ugovor na temelju okvirnog sporazuma</v>
      </c>
      <c r="I729" s="2" t="s">
        <v>19</v>
      </c>
      <c r="J729" s="3" t="str">
        <f>"25.545,61"</f>
        <v>25.545,61</v>
      </c>
      <c r="K729" s="2" t="s">
        <v>1051</v>
      </c>
      <c r="L729" s="2" t="s">
        <v>916</v>
      </c>
      <c r="M729" s="2" t="s">
        <v>704</v>
      </c>
      <c r="N729" s="2" t="s">
        <v>23</v>
      </c>
      <c r="O729" s="3" t="str">
        <f>"0,00"</f>
        <v>0,00</v>
      </c>
      <c r="P729" s="4"/>
    </row>
    <row r="730" spans="2:16" ht="63" x14ac:dyDescent="0.25">
      <c r="B730" s="2">
        <v>503</v>
      </c>
      <c r="C730" s="2" t="str">
        <f>"15-15/NOS-195-A/13"</f>
        <v>15-15/NOS-195-A/13</v>
      </c>
      <c r="D730" s="2" t="s">
        <v>707</v>
      </c>
      <c r="E730" s="2" t="s">
        <v>690</v>
      </c>
      <c r="F730" s="2" t="s">
        <v>1099</v>
      </c>
      <c r="G730" s="2" t="str">
        <f>"15-15/NOS-195-A/13"</f>
        <v>15-15/NOS-195-A/13</v>
      </c>
      <c r="H730" s="2" t="str">
        <f t="shared" si="13"/>
        <v>Ugovor na temelju okvirnog sporazuma</v>
      </c>
      <c r="I730" s="2" t="s">
        <v>19</v>
      </c>
      <c r="J730" s="3" t="str">
        <f>"9.315,08"</f>
        <v>9.315,08</v>
      </c>
      <c r="K730" s="2" t="s">
        <v>1051</v>
      </c>
      <c r="L730" s="2" t="s">
        <v>916</v>
      </c>
      <c r="M730" s="2" t="s">
        <v>704</v>
      </c>
      <c r="N730" s="2" t="str">
        <f>"11.01.2016"</f>
        <v>11.01.2016</v>
      </c>
      <c r="O730" s="3" t="str">
        <f>"5.049,09"</f>
        <v>5.049,09</v>
      </c>
      <c r="P730" s="4"/>
    </row>
    <row r="731" spans="2:16" ht="63" x14ac:dyDescent="0.25">
      <c r="B731" s="2">
        <v>504</v>
      </c>
      <c r="C731" s="2" t="str">
        <f>"18-15/NOS-83/14"</f>
        <v>18-15/NOS-83/14</v>
      </c>
      <c r="D731" s="2" t="s">
        <v>16</v>
      </c>
      <c r="E731" s="2" t="s">
        <v>690</v>
      </c>
      <c r="F731" s="2" t="s">
        <v>1100</v>
      </c>
      <c r="G731" s="2" t="str">
        <f>"18-15/NOS-83/14"</f>
        <v>18-15/NOS-83/14</v>
      </c>
      <c r="H731" s="2" t="str">
        <f t="shared" si="13"/>
        <v>Ugovor na temelju okvirnog sporazuma</v>
      </c>
      <c r="I731" s="2" t="s">
        <v>19</v>
      </c>
      <c r="J731" s="3" t="str">
        <f>"1.975.683,00"</f>
        <v>1.975.683,00</v>
      </c>
      <c r="K731" s="2" t="s">
        <v>472</v>
      </c>
      <c r="L731" s="2" t="s">
        <v>916</v>
      </c>
      <c r="M731" s="2" t="s">
        <v>941</v>
      </c>
      <c r="N731" s="2" t="str">
        <f>"28.12.2015"</f>
        <v>28.12.2015</v>
      </c>
      <c r="O731" s="3" t="str">
        <f>"1.490.508,00"</f>
        <v>1.490.508,00</v>
      </c>
      <c r="P731" s="4"/>
    </row>
    <row r="732" spans="2:16" ht="63" x14ac:dyDescent="0.25">
      <c r="B732" s="2">
        <v>505</v>
      </c>
      <c r="C732" s="2" t="str">
        <f>"12-15/NOS-195-A/13"</f>
        <v>12-15/NOS-195-A/13</v>
      </c>
      <c r="D732" s="2" t="s">
        <v>16</v>
      </c>
      <c r="E732" s="2" t="s">
        <v>690</v>
      </c>
      <c r="F732" s="2" t="s">
        <v>1101</v>
      </c>
      <c r="G732" s="2" t="str">
        <f>"12-15/NOS-195-A/13"</f>
        <v>12-15/NOS-195-A/13</v>
      </c>
      <c r="H732" s="2" t="str">
        <f t="shared" si="13"/>
        <v>Ugovor na temelju okvirnog sporazuma</v>
      </c>
      <c r="I732" s="2" t="s">
        <v>19</v>
      </c>
      <c r="J732" s="3" t="str">
        <f>"38.074.453,04"</f>
        <v>38.074.453,04</v>
      </c>
      <c r="K732" s="2" t="s">
        <v>109</v>
      </c>
      <c r="L732" s="2" t="s">
        <v>916</v>
      </c>
      <c r="M732" s="2" t="s">
        <v>704</v>
      </c>
      <c r="N732" s="2" t="str">
        <f>"13.01.2016"</f>
        <v>13.01.2016</v>
      </c>
      <c r="O732" s="3" t="str">
        <f>"21.011.019,35"</f>
        <v>21.011.019,35</v>
      </c>
      <c r="P732" s="4"/>
    </row>
    <row r="733" spans="2:16" ht="63" x14ac:dyDescent="0.25">
      <c r="B733" s="2">
        <v>506</v>
      </c>
      <c r="C733" s="2" t="str">
        <f>"8-15/NOS-57/12"</f>
        <v>8-15/NOS-57/12</v>
      </c>
      <c r="D733" s="2" t="s">
        <v>16</v>
      </c>
      <c r="E733" s="2" t="s">
        <v>690</v>
      </c>
      <c r="F733" s="2" t="s">
        <v>1102</v>
      </c>
      <c r="G733" s="2" t="str">
        <f>"8-15/NOS-57/12"</f>
        <v>8-15/NOS-57/12</v>
      </c>
      <c r="H733" s="2" t="str">
        <f t="shared" si="13"/>
        <v>Ugovor na temelju okvirnog sporazuma</v>
      </c>
      <c r="I733" s="2" t="s">
        <v>19</v>
      </c>
      <c r="J733" s="3" t="str">
        <f>"11.340,00"</f>
        <v>11.340,00</v>
      </c>
      <c r="K733" s="2" t="s">
        <v>109</v>
      </c>
      <c r="L733" s="2" t="s">
        <v>934</v>
      </c>
      <c r="M733" s="2" t="s">
        <v>920</v>
      </c>
      <c r="N733" s="2" t="str">
        <f>"04.01.2016"</f>
        <v>04.01.2016</v>
      </c>
      <c r="O733" s="3" t="str">
        <f>"810,00"</f>
        <v>810,00</v>
      </c>
      <c r="P733" s="4"/>
    </row>
    <row r="734" spans="2:16" ht="63" x14ac:dyDescent="0.25">
      <c r="B734" s="2">
        <v>507</v>
      </c>
      <c r="C734" s="2" t="str">
        <f>"17-15/NOS-195-A/13"</f>
        <v>17-15/NOS-195-A/13</v>
      </c>
      <c r="D734" s="2" t="s">
        <v>284</v>
      </c>
      <c r="E734" s="2" t="s">
        <v>690</v>
      </c>
      <c r="F734" s="2" t="s">
        <v>1103</v>
      </c>
      <c r="G734" s="2" t="str">
        <f>"17-15/NOS-195-A/13"</f>
        <v>17-15/NOS-195-A/13</v>
      </c>
      <c r="H734" s="2" t="str">
        <f t="shared" si="13"/>
        <v>Ugovor na temelju okvirnog sporazuma</v>
      </c>
      <c r="I734" s="2" t="s">
        <v>19</v>
      </c>
      <c r="J734" s="3" t="str">
        <f>"9.134,94"</f>
        <v>9.134,94</v>
      </c>
      <c r="K734" s="2" t="s">
        <v>109</v>
      </c>
      <c r="L734" s="2" t="s">
        <v>916</v>
      </c>
      <c r="M734" s="2" t="s">
        <v>704</v>
      </c>
      <c r="N734" s="2" t="s">
        <v>23</v>
      </c>
      <c r="O734" s="3" t="str">
        <f>"0,00"</f>
        <v>0,00</v>
      </c>
      <c r="P734" s="4"/>
    </row>
    <row r="735" spans="2:16" ht="63" x14ac:dyDescent="0.25">
      <c r="B735" s="2">
        <v>508</v>
      </c>
      <c r="C735" s="2" t="str">
        <f>"16-15/NOS-195-A/13"</f>
        <v>16-15/NOS-195-A/13</v>
      </c>
      <c r="D735" s="2" t="s">
        <v>356</v>
      </c>
      <c r="E735" s="2" t="s">
        <v>690</v>
      </c>
      <c r="F735" s="2" t="s">
        <v>1104</v>
      </c>
      <c r="G735" s="2" t="str">
        <f>"16-15/NOS-195-A/13"</f>
        <v>16-15/NOS-195-A/13</v>
      </c>
      <c r="H735" s="2" t="str">
        <f t="shared" si="13"/>
        <v>Ugovor na temelju okvirnog sporazuma</v>
      </c>
      <c r="I735" s="2" t="s">
        <v>19</v>
      </c>
      <c r="J735" s="3" t="str">
        <f>"45.571,37"</f>
        <v>45.571,37</v>
      </c>
      <c r="K735" s="2" t="s">
        <v>109</v>
      </c>
      <c r="L735" s="2" t="s">
        <v>916</v>
      </c>
      <c r="M735" s="2" t="s">
        <v>704</v>
      </c>
      <c r="N735" s="2" t="s">
        <v>23</v>
      </c>
      <c r="O735" s="3" t="str">
        <f>"0,00"</f>
        <v>0,00</v>
      </c>
      <c r="P735" s="4"/>
    </row>
    <row r="736" spans="2:16" ht="63" x14ac:dyDescent="0.25">
      <c r="B736" s="2">
        <v>509</v>
      </c>
      <c r="C736" s="2" t="str">
        <f>"2-15/NOS-75/14"</f>
        <v>2-15/NOS-75/14</v>
      </c>
      <c r="D736" s="2" t="s">
        <v>16</v>
      </c>
      <c r="E736" s="2" t="s">
        <v>690</v>
      </c>
      <c r="F736" s="2" t="s">
        <v>1105</v>
      </c>
      <c r="G736" s="2" t="str">
        <f>"2-15/NOS-75/14"</f>
        <v>2-15/NOS-75/14</v>
      </c>
      <c r="H736" s="2" t="str">
        <f t="shared" si="13"/>
        <v>Ugovor na temelju okvirnog sporazuma</v>
      </c>
      <c r="I736" s="2" t="s">
        <v>19</v>
      </c>
      <c r="J736" s="3" t="str">
        <f>"174.300,00"</f>
        <v>174.300,00</v>
      </c>
      <c r="K736" s="2" t="s">
        <v>472</v>
      </c>
      <c r="L736" s="2" t="s">
        <v>408</v>
      </c>
      <c r="M736" s="2" t="s">
        <v>590</v>
      </c>
      <c r="N736" s="2" t="str">
        <f>"21.12.2015"</f>
        <v>21.12.2015</v>
      </c>
      <c r="O736" s="3" t="str">
        <f>"174.300,00"</f>
        <v>174.300,00</v>
      </c>
      <c r="P736" s="4"/>
    </row>
    <row r="737" spans="2:16" ht="63" x14ac:dyDescent="0.25">
      <c r="B737" s="2">
        <v>510</v>
      </c>
      <c r="C737" s="2" t="str">
        <f>"2-15/NOS-145/13"</f>
        <v>2-15/NOS-145/13</v>
      </c>
      <c r="D737" s="2" t="s">
        <v>16</v>
      </c>
      <c r="E737" s="2" t="s">
        <v>690</v>
      </c>
      <c r="F737" s="2" t="s">
        <v>1106</v>
      </c>
      <c r="G737" s="2" t="str">
        <f>"2-15/NOS-145/13"</f>
        <v>2-15/NOS-145/13</v>
      </c>
      <c r="H737" s="2" t="str">
        <f t="shared" si="13"/>
        <v>Ugovor na temelju okvirnog sporazuma</v>
      </c>
      <c r="I737" s="2" t="s">
        <v>19</v>
      </c>
      <c r="J737" s="3" t="str">
        <f>"6.862.500,00"</f>
        <v>6.862.500,00</v>
      </c>
      <c r="K737" s="2" t="s">
        <v>472</v>
      </c>
      <c r="L737" s="2" t="s">
        <v>1028</v>
      </c>
      <c r="M737" s="2" t="s">
        <v>501</v>
      </c>
      <c r="N737" s="2" t="str">
        <f>"12.01.2016"</f>
        <v>12.01.2016</v>
      </c>
      <c r="O737" s="3" t="str">
        <f>"41.129,25"</f>
        <v>41.129,25</v>
      </c>
      <c r="P737" s="4"/>
    </row>
    <row r="738" spans="2:16" ht="63" x14ac:dyDescent="0.25">
      <c r="B738" s="2">
        <v>511</v>
      </c>
      <c r="C738" s="2" t="str">
        <f>"1-15/NOS-50/14"</f>
        <v>1-15/NOS-50/14</v>
      </c>
      <c r="D738" s="2" t="s">
        <v>85</v>
      </c>
      <c r="E738" s="2" t="s">
        <v>690</v>
      </c>
      <c r="F738" s="2" t="s">
        <v>1107</v>
      </c>
      <c r="G738" s="2" t="str">
        <f>"1-15/NOS-50/14"</f>
        <v>1-15/NOS-50/14</v>
      </c>
      <c r="H738" s="2" t="str">
        <f t="shared" si="13"/>
        <v>Ugovor na temelju okvirnog sporazuma</v>
      </c>
      <c r="I738" s="2" t="s">
        <v>19</v>
      </c>
      <c r="J738" s="3" t="str">
        <f>"149.775,00"</f>
        <v>149.775,00</v>
      </c>
      <c r="K738" s="2" t="s">
        <v>1108</v>
      </c>
      <c r="L738" s="2" t="s">
        <v>934</v>
      </c>
      <c r="M738" s="2" t="s">
        <v>1109</v>
      </c>
      <c r="N738" s="2" t="str">
        <f>"11.01.2016"</f>
        <v>11.01.2016</v>
      </c>
      <c r="O738" s="3" t="str">
        <f>"30.432,50"</f>
        <v>30.432,50</v>
      </c>
      <c r="P738" s="4"/>
    </row>
    <row r="739" spans="2:16" ht="63" x14ac:dyDescent="0.25">
      <c r="B739" s="2">
        <v>512</v>
      </c>
      <c r="C739" s="2" t="str">
        <f>"3-15/NOS-83-A/15"</f>
        <v>3-15/NOS-83-A/15</v>
      </c>
      <c r="D739" s="2" t="s">
        <v>16</v>
      </c>
      <c r="E739" s="2" t="s">
        <v>690</v>
      </c>
      <c r="F739" s="2" t="s">
        <v>1110</v>
      </c>
      <c r="G739" s="2" t="str">
        <f>"3-15/NOS-83-A/15"</f>
        <v>3-15/NOS-83-A/15</v>
      </c>
      <c r="H739" s="2" t="str">
        <f t="shared" si="13"/>
        <v>Ugovor na temelju okvirnog sporazuma</v>
      </c>
      <c r="I739" s="2" t="s">
        <v>19</v>
      </c>
      <c r="J739" s="3" t="str">
        <f>"173.480,00"</f>
        <v>173.480,00</v>
      </c>
      <c r="K739" s="2" t="s">
        <v>736</v>
      </c>
      <c r="L739" s="2" t="s">
        <v>916</v>
      </c>
      <c r="M739" s="2" t="s">
        <v>61</v>
      </c>
      <c r="N739" s="2" t="str">
        <f>"11.12.2015"</f>
        <v>11.12.2015</v>
      </c>
      <c r="O739" s="3" t="str">
        <f>"129.657,00"</f>
        <v>129.657,00</v>
      </c>
      <c r="P739" s="4"/>
    </row>
    <row r="740" spans="2:16" s="15" customFormat="1" ht="78.75" x14ac:dyDescent="0.25">
      <c r="B740" s="12">
        <v>513</v>
      </c>
      <c r="C740" s="12" t="str">
        <f>"4-15/NOS-103/15"</f>
        <v>4-15/NOS-103/15</v>
      </c>
      <c r="D740" s="12" t="s">
        <v>356</v>
      </c>
      <c r="E740" s="12" t="s">
        <v>690</v>
      </c>
      <c r="F740" s="12" t="s">
        <v>1111</v>
      </c>
      <c r="G740" s="12" t="str">
        <f>"4-15/NOS-103/15"</f>
        <v>4-15/NOS-103/15</v>
      </c>
      <c r="H740" s="12" t="str">
        <f t="shared" si="13"/>
        <v>Ugovor na temelju okvirnog sporazuma</v>
      </c>
      <c r="I740" s="12" t="s">
        <v>19</v>
      </c>
      <c r="J740" s="13" t="str">
        <f>"114.565,00"</f>
        <v>114.565,00</v>
      </c>
      <c r="K740" s="12" t="s">
        <v>674</v>
      </c>
      <c r="L740" s="12" t="s">
        <v>913</v>
      </c>
      <c r="M740" s="12" t="s">
        <v>560</v>
      </c>
      <c r="N740" s="12" t="s">
        <v>23</v>
      </c>
      <c r="O740" s="22">
        <v>63404.88</v>
      </c>
      <c r="P740" s="14"/>
    </row>
    <row r="741" spans="2:16" s="15" customFormat="1" ht="78.75" x14ac:dyDescent="0.25">
      <c r="B741" s="12"/>
      <c r="C741" s="12" t="str">
        <f>"4-15/NOS-103/15-1"</f>
        <v>4-15/NOS-103/15-1</v>
      </c>
      <c r="D741" s="12" t="s">
        <v>356</v>
      </c>
      <c r="E741" s="12" t="s">
        <v>690</v>
      </c>
      <c r="F741" s="12" t="s">
        <v>1563</v>
      </c>
      <c r="G741" s="12" t="str">
        <f>"4-15/NOS-103/15-1"</f>
        <v>4-15/NOS-103/15-1</v>
      </c>
      <c r="H741" s="12" t="str">
        <f t="shared" si="13"/>
        <v>Ugovor na temelju okvirnog sporazuma</v>
      </c>
      <c r="I741" s="12" t="s">
        <v>19</v>
      </c>
      <c r="J741" s="13">
        <v>0</v>
      </c>
      <c r="K741" s="12" t="s">
        <v>1564</v>
      </c>
      <c r="L741" s="12" t="s">
        <v>1564</v>
      </c>
      <c r="M741" s="12" t="s">
        <v>560</v>
      </c>
      <c r="N741" s="12" t="s">
        <v>1564</v>
      </c>
      <c r="O741" s="13" t="str">
        <f>"0,00"</f>
        <v>0,00</v>
      </c>
      <c r="P741" s="14"/>
    </row>
    <row r="742" spans="2:16" ht="78.75" x14ac:dyDescent="0.25">
      <c r="B742" s="2">
        <v>514</v>
      </c>
      <c r="C742" s="2" t="str">
        <f>"2-15/NOS-109/14"</f>
        <v>2-15/NOS-109/14</v>
      </c>
      <c r="D742" s="2" t="s">
        <v>16</v>
      </c>
      <c r="E742" s="2" t="s">
        <v>690</v>
      </c>
      <c r="F742" s="2" t="s">
        <v>1112</v>
      </c>
      <c r="G742" s="2" t="str">
        <f>"2-15/NOS-109/14"</f>
        <v>2-15/NOS-109/14</v>
      </c>
      <c r="H742" s="2" t="str">
        <f t="shared" si="13"/>
        <v>Ugovor na temelju okvirnog sporazuma</v>
      </c>
      <c r="I742" s="2" t="s">
        <v>19</v>
      </c>
      <c r="J742" s="3" t="str">
        <f>"326.735,96"</f>
        <v>326.735,96</v>
      </c>
      <c r="K742" s="2" t="s">
        <v>674</v>
      </c>
      <c r="L742" s="2" t="s">
        <v>408</v>
      </c>
      <c r="M742" s="2" t="s">
        <v>107</v>
      </c>
      <c r="N742" s="2" t="str">
        <f>"15.12.2015"</f>
        <v>15.12.2015</v>
      </c>
      <c r="O742" s="3" t="str">
        <f>"326.531,54"</f>
        <v>326.531,54</v>
      </c>
      <c r="P742" s="4"/>
    </row>
    <row r="743" spans="2:16" ht="63" x14ac:dyDescent="0.25">
      <c r="B743" s="2">
        <v>515</v>
      </c>
      <c r="C743" s="2" t="str">
        <f>"5-15/NOS-12-A/14"</f>
        <v>5-15/NOS-12-A/14</v>
      </c>
      <c r="D743" s="2" t="s">
        <v>16</v>
      </c>
      <c r="E743" s="2" t="s">
        <v>690</v>
      </c>
      <c r="F743" s="2" t="s">
        <v>1113</v>
      </c>
      <c r="G743" s="2" t="str">
        <f>"5-15/NOS-12-A/14"</f>
        <v>5-15/NOS-12-A/14</v>
      </c>
      <c r="H743" s="2" t="str">
        <f t="shared" si="13"/>
        <v>Ugovor na temelju okvirnog sporazuma</v>
      </c>
      <c r="I743" s="2" t="s">
        <v>19</v>
      </c>
      <c r="J743" s="3" t="str">
        <f>"740.100,00"</f>
        <v>740.100,00</v>
      </c>
      <c r="K743" s="2" t="s">
        <v>674</v>
      </c>
      <c r="L743" s="2" t="s">
        <v>937</v>
      </c>
      <c r="M743" s="2" t="s">
        <v>518</v>
      </c>
      <c r="N743" s="2" t="str">
        <f>"12.01.2016"</f>
        <v>12.01.2016</v>
      </c>
      <c r="O743" s="3" t="str">
        <f>"34.872,50"</f>
        <v>34.872,50</v>
      </c>
      <c r="P743" s="4"/>
    </row>
    <row r="744" spans="2:16" ht="63" x14ac:dyDescent="0.25">
      <c r="B744" s="2">
        <v>516</v>
      </c>
      <c r="C744" s="2" t="str">
        <f>"13-15/NOS-195-A/13"</f>
        <v>13-15/NOS-195-A/13</v>
      </c>
      <c r="D744" s="2" t="s">
        <v>85</v>
      </c>
      <c r="E744" s="2" t="s">
        <v>690</v>
      </c>
      <c r="F744" s="2" t="s">
        <v>1114</v>
      </c>
      <c r="G744" s="2" t="str">
        <f>"13-15/NOS-195-A/13"</f>
        <v>13-15/NOS-195-A/13</v>
      </c>
      <c r="H744" s="2" t="str">
        <f t="shared" si="13"/>
        <v>Ugovor na temelju okvirnog sporazuma</v>
      </c>
      <c r="I744" s="2" t="s">
        <v>19</v>
      </c>
      <c r="J744" s="3" t="str">
        <f>"977.069,20"</f>
        <v>977.069,20</v>
      </c>
      <c r="K744" s="2" t="s">
        <v>478</v>
      </c>
      <c r="L744" s="2" t="s">
        <v>916</v>
      </c>
      <c r="M744" s="2" t="s">
        <v>704</v>
      </c>
      <c r="N744" s="2" t="str">
        <f>"13.01.2016"</f>
        <v>13.01.2016</v>
      </c>
      <c r="O744" s="3" t="str">
        <f>"16.300,80"</f>
        <v>16.300,80</v>
      </c>
      <c r="P744" s="4"/>
    </row>
    <row r="745" spans="2:16" ht="63" x14ac:dyDescent="0.25">
      <c r="B745" s="2">
        <v>517</v>
      </c>
      <c r="C745" s="2" t="str">
        <f>"5-15/NOS-167/13"</f>
        <v>5-15/NOS-167/13</v>
      </c>
      <c r="D745" s="2" t="s">
        <v>16</v>
      </c>
      <c r="E745" s="2" t="s">
        <v>690</v>
      </c>
      <c r="F745" s="2" t="s">
        <v>1115</v>
      </c>
      <c r="G745" s="2" t="str">
        <f>"5-15/NOS-167/13"</f>
        <v>5-15/NOS-167/13</v>
      </c>
      <c r="H745" s="2" t="str">
        <f t="shared" si="13"/>
        <v>Ugovor na temelju okvirnog sporazuma</v>
      </c>
      <c r="I745" s="2" t="s">
        <v>19</v>
      </c>
      <c r="J745" s="3" t="str">
        <f>"82.698,49"</f>
        <v>82.698,49</v>
      </c>
      <c r="K745" s="2" t="s">
        <v>1108</v>
      </c>
      <c r="L745" s="2" t="s">
        <v>916</v>
      </c>
      <c r="M745" s="2" t="s">
        <v>270</v>
      </c>
      <c r="N745" s="2" t="str">
        <f>"05.01.2016"</f>
        <v>05.01.2016</v>
      </c>
      <c r="O745" s="3" t="str">
        <f>"23.853,83"</f>
        <v>23.853,83</v>
      </c>
      <c r="P745" s="4"/>
    </row>
    <row r="746" spans="2:16" ht="63" x14ac:dyDescent="0.25">
      <c r="B746" s="2">
        <v>518</v>
      </c>
      <c r="C746" s="2" t="str">
        <f>"5-15/NOS-56/15"</f>
        <v>5-15/NOS-56/15</v>
      </c>
      <c r="D746" s="2" t="s">
        <v>16</v>
      </c>
      <c r="E746" s="2" t="s">
        <v>690</v>
      </c>
      <c r="F746" s="2" t="s">
        <v>1116</v>
      </c>
      <c r="G746" s="2" t="str">
        <f>"5-15/NOS-56/15"</f>
        <v>5-15/NOS-56/15</v>
      </c>
      <c r="H746" s="2" t="str">
        <f t="shared" si="13"/>
        <v>Ugovor na temelju okvirnog sporazuma</v>
      </c>
      <c r="I746" s="2" t="s">
        <v>19</v>
      </c>
      <c r="J746" s="3" t="str">
        <f>"35.000,00"</f>
        <v>35.000,00</v>
      </c>
      <c r="K746" s="2" t="s">
        <v>1108</v>
      </c>
      <c r="L746" s="2" t="s">
        <v>916</v>
      </c>
      <c r="M746" s="2" t="s">
        <v>142</v>
      </c>
      <c r="N746" s="2" t="str">
        <f>"13.01.2016"</f>
        <v>13.01.2016</v>
      </c>
      <c r="O746" s="3" t="str">
        <f>"30.000,00"</f>
        <v>30.000,00</v>
      </c>
      <c r="P746" s="4"/>
    </row>
    <row r="747" spans="2:16" ht="63" x14ac:dyDescent="0.25">
      <c r="B747" s="2">
        <v>519</v>
      </c>
      <c r="C747" s="2" t="str">
        <f>"4-15/NOS-94/14"</f>
        <v>4-15/NOS-94/14</v>
      </c>
      <c r="D747" s="2" t="s">
        <v>16</v>
      </c>
      <c r="E747" s="2" t="s">
        <v>690</v>
      </c>
      <c r="F747" s="2" t="s">
        <v>1117</v>
      </c>
      <c r="G747" s="2" t="str">
        <f>"4-15/NOS-94/14"</f>
        <v>4-15/NOS-94/14</v>
      </c>
      <c r="H747" s="2" t="str">
        <f t="shared" si="13"/>
        <v>Ugovor na temelju okvirnog sporazuma</v>
      </c>
      <c r="I747" s="2" t="s">
        <v>19</v>
      </c>
      <c r="J747" s="3" t="str">
        <f>"265.860,00"</f>
        <v>265.860,00</v>
      </c>
      <c r="K747" s="2" t="s">
        <v>736</v>
      </c>
      <c r="L747" s="2" t="s">
        <v>408</v>
      </c>
      <c r="M747" s="2" t="s">
        <v>1118</v>
      </c>
      <c r="N747" s="2" t="str">
        <f>"18.12.2015"</f>
        <v>18.12.2015</v>
      </c>
      <c r="O747" s="3" t="str">
        <f>"139.462,56"</f>
        <v>139.462,56</v>
      </c>
      <c r="P747" s="2"/>
    </row>
    <row r="748" spans="2:16" ht="63" x14ac:dyDescent="0.25">
      <c r="B748" s="2">
        <v>520</v>
      </c>
      <c r="C748" s="2" t="str">
        <f>"5-15/NOS-12-B/14"</f>
        <v>5-15/NOS-12-B/14</v>
      </c>
      <c r="D748" s="2" t="s">
        <v>16</v>
      </c>
      <c r="E748" s="2" t="s">
        <v>690</v>
      </c>
      <c r="F748" s="2" t="s">
        <v>1119</v>
      </c>
      <c r="G748" s="2" t="str">
        <f>"5-15/NOS-12-B/14"</f>
        <v>5-15/NOS-12-B/14</v>
      </c>
      <c r="H748" s="2" t="str">
        <f t="shared" si="13"/>
        <v>Ugovor na temelju okvirnog sporazuma</v>
      </c>
      <c r="I748" s="2" t="s">
        <v>19</v>
      </c>
      <c r="J748" s="3" t="str">
        <f>"133.400,00"</f>
        <v>133.400,00</v>
      </c>
      <c r="K748" s="2" t="s">
        <v>736</v>
      </c>
      <c r="L748" s="2" t="s">
        <v>937</v>
      </c>
      <c r="M748" s="2" t="s">
        <v>939</v>
      </c>
      <c r="N748" s="2" t="str">
        <f>"28.12.2015"</f>
        <v>28.12.2015</v>
      </c>
      <c r="O748" s="3" t="str">
        <f>"114.782,00"</f>
        <v>114.782,00</v>
      </c>
      <c r="P748" s="4"/>
    </row>
    <row r="749" spans="2:16" ht="63" x14ac:dyDescent="0.25">
      <c r="B749" s="2">
        <v>521</v>
      </c>
      <c r="C749" s="2" t="str">
        <f>"3-15/NOS-39/15"</f>
        <v>3-15/NOS-39/15</v>
      </c>
      <c r="D749" s="2" t="s">
        <v>16</v>
      </c>
      <c r="E749" s="2" t="s">
        <v>690</v>
      </c>
      <c r="F749" s="2" t="s">
        <v>1120</v>
      </c>
      <c r="G749" s="2" t="str">
        <f>"3-15/NOS-39/15"</f>
        <v>3-15/NOS-39/15</v>
      </c>
      <c r="H749" s="2" t="str">
        <f t="shared" si="13"/>
        <v>Ugovor na temelju okvirnog sporazuma</v>
      </c>
      <c r="I749" s="2" t="s">
        <v>19</v>
      </c>
      <c r="J749" s="3" t="str">
        <f>"911.590,25"</f>
        <v>911.590,25</v>
      </c>
      <c r="K749" s="2" t="s">
        <v>1121</v>
      </c>
      <c r="L749" s="2" t="s">
        <v>916</v>
      </c>
      <c r="M749" s="2" t="s">
        <v>303</v>
      </c>
      <c r="N749" s="2" t="str">
        <f>"13.01.2016"</f>
        <v>13.01.2016</v>
      </c>
      <c r="O749" s="3" t="str">
        <f>"632.547,87"</f>
        <v>632.547,87</v>
      </c>
      <c r="P749" s="2"/>
    </row>
    <row r="750" spans="2:16" ht="63" x14ac:dyDescent="0.25">
      <c r="B750" s="2">
        <v>522</v>
      </c>
      <c r="C750" s="2" t="str">
        <f>"1-15/NOS-74/15"</f>
        <v>1-15/NOS-74/15</v>
      </c>
      <c r="D750" s="2" t="s">
        <v>16</v>
      </c>
      <c r="E750" s="2" t="s">
        <v>690</v>
      </c>
      <c r="F750" s="2" t="s">
        <v>1122</v>
      </c>
      <c r="G750" s="2" t="str">
        <f>"1-15/NOS-74/15"</f>
        <v>1-15/NOS-74/15</v>
      </c>
      <c r="H750" s="2" t="str">
        <f t="shared" si="13"/>
        <v>Ugovor na temelju okvirnog sporazuma</v>
      </c>
      <c r="I750" s="2" t="s">
        <v>19</v>
      </c>
      <c r="J750" s="3" t="str">
        <f>"849.200,00"</f>
        <v>849.200,00</v>
      </c>
      <c r="K750" s="2" t="s">
        <v>736</v>
      </c>
      <c r="L750" s="2" t="s">
        <v>1123</v>
      </c>
      <c r="M750" s="2" t="s">
        <v>553</v>
      </c>
      <c r="N750" s="2" t="str">
        <f>"16.12.2015"</f>
        <v>16.12.2015</v>
      </c>
      <c r="O750" s="3" t="str">
        <f>"106.620,00"</f>
        <v>106.620,00</v>
      </c>
      <c r="P750" s="2"/>
    </row>
    <row r="751" spans="2:16" ht="63" x14ac:dyDescent="0.25">
      <c r="B751" s="2">
        <v>523</v>
      </c>
      <c r="C751" s="2" t="str">
        <f>"4-15/NOS-65/14"</f>
        <v>4-15/NOS-65/14</v>
      </c>
      <c r="D751" s="2" t="s">
        <v>85</v>
      </c>
      <c r="E751" s="2" t="s">
        <v>690</v>
      </c>
      <c r="F751" s="2" t="s">
        <v>1124</v>
      </c>
      <c r="G751" s="2" t="str">
        <f>"4-15/NOS-65/14"</f>
        <v>4-15/NOS-65/14</v>
      </c>
      <c r="H751" s="2" t="str">
        <f t="shared" si="13"/>
        <v>Ugovor na temelju okvirnog sporazuma</v>
      </c>
      <c r="I751" s="2" t="s">
        <v>19</v>
      </c>
      <c r="J751" s="3" t="str">
        <f>"119.800,00"</f>
        <v>119.800,00</v>
      </c>
      <c r="K751" s="2" t="s">
        <v>1125</v>
      </c>
      <c r="L751" s="2" t="s">
        <v>934</v>
      </c>
      <c r="M751" s="2" t="s">
        <v>1126</v>
      </c>
      <c r="N751" s="2" t="str">
        <f>"26.11.2015"</f>
        <v>26.11.2015</v>
      </c>
      <c r="O751" s="3" t="str">
        <f>"15.550,00"</f>
        <v>15.550,00</v>
      </c>
      <c r="P751" s="4"/>
    </row>
    <row r="752" spans="2:16" ht="63" x14ac:dyDescent="0.25">
      <c r="B752" s="2">
        <v>524</v>
      </c>
      <c r="C752" s="2" t="str">
        <f>"1-15/NOS-7/15"</f>
        <v>1-15/NOS-7/15</v>
      </c>
      <c r="D752" s="2" t="s">
        <v>16</v>
      </c>
      <c r="E752" s="2" t="s">
        <v>690</v>
      </c>
      <c r="F752" s="2" t="s">
        <v>1127</v>
      </c>
      <c r="G752" s="2" t="str">
        <f>"1-15/NOS-7/15"</f>
        <v>1-15/NOS-7/15</v>
      </c>
      <c r="H752" s="2" t="str">
        <f t="shared" si="13"/>
        <v>Ugovor na temelju okvirnog sporazuma</v>
      </c>
      <c r="I752" s="2" t="s">
        <v>19</v>
      </c>
      <c r="J752" s="3" t="str">
        <f>"333.000,00"</f>
        <v>333.000,00</v>
      </c>
      <c r="K752" s="2" t="s">
        <v>736</v>
      </c>
      <c r="L752" s="2" t="s">
        <v>1041</v>
      </c>
      <c r="M752" s="2" t="s">
        <v>122</v>
      </c>
      <c r="N752" s="2" t="str">
        <f>"13.01.2016"</f>
        <v>13.01.2016</v>
      </c>
      <c r="O752" s="3" t="str">
        <f>"52.740,00"</f>
        <v>52.740,00</v>
      </c>
      <c r="P752" s="4"/>
    </row>
    <row r="753" spans="2:16" ht="63" x14ac:dyDescent="0.25">
      <c r="B753" s="2">
        <v>525</v>
      </c>
      <c r="C753" s="2" t="str">
        <f>"2-15/NOS-121-A/14"</f>
        <v>2-15/NOS-121-A/14</v>
      </c>
      <c r="D753" s="2" t="s">
        <v>16</v>
      </c>
      <c r="E753" s="2" t="s">
        <v>690</v>
      </c>
      <c r="F753" s="2" t="s">
        <v>1128</v>
      </c>
      <c r="G753" s="2" t="str">
        <f>"2-15/NOS-121-A/14"</f>
        <v>2-15/NOS-121-A/14</v>
      </c>
      <c r="H753" s="2" t="str">
        <f t="shared" si="13"/>
        <v>Ugovor na temelju okvirnog sporazuma</v>
      </c>
      <c r="I753" s="2" t="s">
        <v>19</v>
      </c>
      <c r="J753" s="3" t="str">
        <f>"7.088,90"</f>
        <v>7.088,90</v>
      </c>
      <c r="K753" s="2" t="s">
        <v>1121</v>
      </c>
      <c r="L753" s="2" t="s">
        <v>408</v>
      </c>
      <c r="M753" s="2" t="s">
        <v>599</v>
      </c>
      <c r="N753" s="2" t="s">
        <v>23</v>
      </c>
      <c r="O753" s="3" t="str">
        <f>"0,00"</f>
        <v>0,00</v>
      </c>
      <c r="P753" s="4"/>
    </row>
    <row r="754" spans="2:16" ht="63" x14ac:dyDescent="0.25">
      <c r="B754" s="2">
        <v>526</v>
      </c>
      <c r="C754" s="2" t="str">
        <f>"26-15/NOS-216-A/13"</f>
        <v>26-15/NOS-216-A/13</v>
      </c>
      <c r="D754" s="2" t="s">
        <v>16</v>
      </c>
      <c r="E754" s="2" t="s">
        <v>690</v>
      </c>
      <c r="F754" s="2" t="s">
        <v>1129</v>
      </c>
      <c r="G754" s="2" t="str">
        <f>"26-15/NOS-216-A/13"</f>
        <v>26-15/NOS-216-A/13</v>
      </c>
      <c r="H754" s="2" t="str">
        <f t="shared" si="13"/>
        <v>Ugovor na temelju okvirnog sporazuma</v>
      </c>
      <c r="I754" s="2" t="s">
        <v>19</v>
      </c>
      <c r="J754" s="3" t="str">
        <f>"2.268.776,22"</f>
        <v>2.268.776,22</v>
      </c>
      <c r="K754" s="2" t="s">
        <v>687</v>
      </c>
      <c r="L754" s="2" t="s">
        <v>1041</v>
      </c>
      <c r="M754" s="2" t="s">
        <v>358</v>
      </c>
      <c r="N754" s="2" t="str">
        <f>"15.01.2016"</f>
        <v>15.01.2016</v>
      </c>
      <c r="O754" s="3" t="str">
        <f>"1.112.124,94"</f>
        <v>1.112.124,94</v>
      </c>
      <c r="P754" s="4"/>
    </row>
    <row r="755" spans="2:16" s="19" customFormat="1" ht="15.75" x14ac:dyDescent="0.25">
      <c r="B755" s="44">
        <v>527</v>
      </c>
      <c r="C755" s="44" t="str">
        <f>"1-15/NOS-94/15"</f>
        <v>1-15/NOS-94/15</v>
      </c>
      <c r="D755" s="44" t="s">
        <v>16</v>
      </c>
      <c r="E755" s="44" t="s">
        <v>690</v>
      </c>
      <c r="F755" s="44" t="s">
        <v>1130</v>
      </c>
      <c r="G755" s="44" t="str">
        <f>"1-15/NOS-94/15"</f>
        <v>1-15/NOS-94/15</v>
      </c>
      <c r="H755" s="44" t="str">
        <f t="shared" si="13"/>
        <v>Ugovor na temelju okvirnog sporazuma</v>
      </c>
      <c r="I755" s="44" t="s">
        <v>19</v>
      </c>
      <c r="J755" s="42" t="str">
        <f>"373.350,00"</f>
        <v>373.350,00</v>
      </c>
      <c r="K755" s="44" t="s">
        <v>687</v>
      </c>
      <c r="L755" s="44" t="s">
        <v>1131</v>
      </c>
      <c r="M755" s="44" t="s">
        <v>209</v>
      </c>
      <c r="N755" s="44" t="str">
        <f>"11.12.2015"</f>
        <v>11.12.2015</v>
      </c>
      <c r="O755" s="42" t="str">
        <f>"383.405,56"</f>
        <v>383.405,56</v>
      </c>
      <c r="P755" s="25"/>
    </row>
    <row r="756" spans="2:16" s="19" customFormat="1" ht="63" x14ac:dyDescent="0.25">
      <c r="B756" s="45"/>
      <c r="C756" s="45"/>
      <c r="D756" s="45"/>
      <c r="E756" s="45"/>
      <c r="F756" s="45"/>
      <c r="G756" s="45"/>
      <c r="H756" s="45"/>
      <c r="I756" s="45"/>
      <c r="J756" s="43"/>
      <c r="K756" s="45"/>
      <c r="L756" s="45"/>
      <c r="M756" s="45"/>
      <c r="N756" s="45"/>
      <c r="O756" s="43"/>
      <c r="P756" s="26" t="s">
        <v>699</v>
      </c>
    </row>
    <row r="757" spans="2:16" ht="94.5" x14ac:dyDescent="0.25">
      <c r="B757" s="2">
        <v>528</v>
      </c>
      <c r="C757" s="2" t="str">
        <f>"2-15/NOS-100-B/15"</f>
        <v>2-15/NOS-100-B/15</v>
      </c>
      <c r="D757" s="2" t="s">
        <v>16</v>
      </c>
      <c r="E757" s="2" t="s">
        <v>690</v>
      </c>
      <c r="F757" s="2" t="s">
        <v>1132</v>
      </c>
      <c r="G757" s="2" t="str">
        <f>"2-15/NOS-100-B/15"</f>
        <v>2-15/NOS-100-B/15</v>
      </c>
      <c r="H757" s="2" t="str">
        <f t="shared" ref="H757:H788" si="14">"Ugovor na temelju okvirnog sporazuma"</f>
        <v>Ugovor na temelju okvirnog sporazuma</v>
      </c>
      <c r="I757" s="2" t="s">
        <v>19</v>
      </c>
      <c r="J757" s="3" t="str">
        <f>"208.649,20"</f>
        <v>208.649,20</v>
      </c>
      <c r="K757" s="2" t="s">
        <v>687</v>
      </c>
      <c r="L757" s="2" t="s">
        <v>970</v>
      </c>
      <c r="M757" s="2" t="s">
        <v>631</v>
      </c>
      <c r="N757" s="2" t="str">
        <f>"12.01.2016"</f>
        <v>12.01.2016</v>
      </c>
      <c r="O757" s="3" t="str">
        <f>"65.091,23"</f>
        <v>65.091,23</v>
      </c>
      <c r="P757" s="4"/>
    </row>
    <row r="758" spans="2:16" ht="110.25" x14ac:dyDescent="0.25">
      <c r="B758" s="2">
        <v>529</v>
      </c>
      <c r="C758" s="2" t="str">
        <f>"3-15/NOS-100-C/15"</f>
        <v>3-15/NOS-100-C/15</v>
      </c>
      <c r="D758" s="2" t="s">
        <v>16</v>
      </c>
      <c r="E758" s="2" t="s">
        <v>690</v>
      </c>
      <c r="F758" s="2" t="s">
        <v>1133</v>
      </c>
      <c r="G758" s="2" t="str">
        <f>"3-15/NOS-100-C/15"</f>
        <v>3-15/NOS-100-C/15</v>
      </c>
      <c r="H758" s="2" t="str">
        <f t="shared" si="14"/>
        <v>Ugovor na temelju okvirnog sporazuma</v>
      </c>
      <c r="I758" s="2" t="s">
        <v>19</v>
      </c>
      <c r="J758" s="3" t="str">
        <f>"29.610,86"</f>
        <v>29.610,86</v>
      </c>
      <c r="K758" s="2" t="s">
        <v>1125</v>
      </c>
      <c r="L758" s="2" t="s">
        <v>970</v>
      </c>
      <c r="M758" s="2" t="s">
        <v>44</v>
      </c>
      <c r="N758" s="2" t="str">
        <f>"12.01.2016"</f>
        <v>12.01.2016</v>
      </c>
      <c r="O758" s="3" t="str">
        <f>"6.353,00"</f>
        <v>6.353,00</v>
      </c>
      <c r="P758" s="2"/>
    </row>
    <row r="759" spans="2:16" ht="63" x14ac:dyDescent="0.25">
      <c r="B759" s="2">
        <v>530</v>
      </c>
      <c r="C759" s="2" t="str">
        <f>"2-15/NOS-60/15"</f>
        <v>2-15/NOS-60/15</v>
      </c>
      <c r="D759" s="2" t="s">
        <v>16</v>
      </c>
      <c r="E759" s="2" t="s">
        <v>690</v>
      </c>
      <c r="F759" s="2" t="s">
        <v>1134</v>
      </c>
      <c r="G759" s="2" t="str">
        <f>"2-15/NOS-60/15"</f>
        <v>2-15/NOS-60/15</v>
      </c>
      <c r="H759" s="2" t="str">
        <f t="shared" si="14"/>
        <v>Ugovor na temelju okvirnog sporazuma</v>
      </c>
      <c r="I759" s="2" t="s">
        <v>19</v>
      </c>
      <c r="J759" s="3" t="str">
        <f>"92.024,95"</f>
        <v>92.024,95</v>
      </c>
      <c r="K759" s="2" t="s">
        <v>1125</v>
      </c>
      <c r="L759" s="2" t="s">
        <v>916</v>
      </c>
      <c r="M759" s="2" t="s">
        <v>44</v>
      </c>
      <c r="N759" s="2" t="str">
        <f>"12.01.2016"</f>
        <v>12.01.2016</v>
      </c>
      <c r="O759" s="3" t="str">
        <f>"21.224,55"</f>
        <v>21.224,55</v>
      </c>
      <c r="P759" s="4"/>
    </row>
    <row r="760" spans="2:16" ht="63" x14ac:dyDescent="0.25">
      <c r="B760" s="2">
        <v>531</v>
      </c>
      <c r="C760" s="2" t="str">
        <f>"2-15/NOS-76/12"</f>
        <v>2-15/NOS-76/12</v>
      </c>
      <c r="D760" s="2" t="s">
        <v>16</v>
      </c>
      <c r="E760" s="2" t="s">
        <v>690</v>
      </c>
      <c r="F760" s="2" t="s">
        <v>1135</v>
      </c>
      <c r="G760" s="2" t="str">
        <f>"2-15/NOS-76/12"</f>
        <v>2-15/NOS-76/12</v>
      </c>
      <c r="H760" s="2" t="str">
        <f t="shared" si="14"/>
        <v>Ugovor na temelju okvirnog sporazuma</v>
      </c>
      <c r="I760" s="2" t="s">
        <v>19</v>
      </c>
      <c r="J760" s="3" t="str">
        <f>"671.120,00"</f>
        <v>671.120,00</v>
      </c>
      <c r="K760" s="2" t="s">
        <v>687</v>
      </c>
      <c r="L760" s="2" t="s">
        <v>408</v>
      </c>
      <c r="M760" s="2" t="s">
        <v>1136</v>
      </c>
      <c r="N760" s="2" t="s">
        <v>23</v>
      </c>
      <c r="O760" s="3" t="str">
        <f>"0,00"</f>
        <v>0,00</v>
      </c>
      <c r="P760" s="4"/>
    </row>
    <row r="761" spans="2:16" ht="110.25" x14ac:dyDescent="0.25">
      <c r="B761" s="2">
        <v>532</v>
      </c>
      <c r="C761" s="2" t="str">
        <f>"14-15/NOS-130/11"</f>
        <v>14-15/NOS-130/11</v>
      </c>
      <c r="D761" s="2" t="s">
        <v>16</v>
      </c>
      <c r="E761" s="2" t="s">
        <v>690</v>
      </c>
      <c r="F761" s="2" t="s">
        <v>1137</v>
      </c>
      <c r="G761" s="2" t="str">
        <f>"14-15/NOS-130/11"</f>
        <v>14-15/NOS-130/11</v>
      </c>
      <c r="H761" s="2" t="str">
        <f t="shared" si="14"/>
        <v>Ugovor na temelju okvirnog sporazuma</v>
      </c>
      <c r="I761" s="2" t="s">
        <v>19</v>
      </c>
      <c r="J761" s="3" t="str">
        <f>"2.114.673,98"</f>
        <v>2.114.673,98</v>
      </c>
      <c r="K761" s="2" t="s">
        <v>478</v>
      </c>
      <c r="L761" s="2" t="s">
        <v>913</v>
      </c>
      <c r="M761" s="2" t="s">
        <v>814</v>
      </c>
      <c r="N761" s="2" t="str">
        <f>"08.01.2016"</f>
        <v>08.01.2016</v>
      </c>
      <c r="O761" s="3" t="str">
        <f>"743.710,63"</f>
        <v>743.710,63</v>
      </c>
      <c r="P761" s="4"/>
    </row>
    <row r="762" spans="2:16" ht="63" x14ac:dyDescent="0.25">
      <c r="B762" s="2">
        <v>533</v>
      </c>
      <c r="C762" s="2" t="str">
        <f>"4-15/NOS-121-B/14"</f>
        <v>4-15/NOS-121-B/14</v>
      </c>
      <c r="D762" s="2" t="s">
        <v>16</v>
      </c>
      <c r="E762" s="2" t="s">
        <v>690</v>
      </c>
      <c r="F762" s="2" t="s">
        <v>1138</v>
      </c>
      <c r="G762" s="2" t="str">
        <f>"4-15/NOS-121-B/14"</f>
        <v>4-15/NOS-121-B/14</v>
      </c>
      <c r="H762" s="2" t="str">
        <f t="shared" si="14"/>
        <v>Ugovor na temelju okvirnog sporazuma</v>
      </c>
      <c r="I762" s="2" t="s">
        <v>19</v>
      </c>
      <c r="J762" s="3" t="str">
        <f>"4.700,00"</f>
        <v>4.700,00</v>
      </c>
      <c r="K762" s="2" t="s">
        <v>1125</v>
      </c>
      <c r="L762" s="2" t="s">
        <v>408</v>
      </c>
      <c r="M762" s="2" t="s">
        <v>84</v>
      </c>
      <c r="N762" s="2" t="s">
        <v>23</v>
      </c>
      <c r="O762" s="3" t="str">
        <f>"0,00"</f>
        <v>0,00</v>
      </c>
      <c r="P762" s="4"/>
    </row>
    <row r="763" spans="2:16" ht="63" x14ac:dyDescent="0.25">
      <c r="B763" s="2">
        <v>534</v>
      </c>
      <c r="C763" s="2" t="str">
        <f>"3-15/NOS-107/14"</f>
        <v>3-15/NOS-107/14</v>
      </c>
      <c r="D763" s="2" t="s">
        <v>85</v>
      </c>
      <c r="E763" s="2" t="s">
        <v>690</v>
      </c>
      <c r="F763" s="2" t="s">
        <v>1139</v>
      </c>
      <c r="G763" s="2" t="str">
        <f>"3-15/NOS-107/14"</f>
        <v>3-15/NOS-107/14</v>
      </c>
      <c r="H763" s="2" t="str">
        <f t="shared" si="14"/>
        <v>Ugovor na temelju okvirnog sporazuma</v>
      </c>
      <c r="I763" s="2" t="s">
        <v>19</v>
      </c>
      <c r="J763" s="3" t="str">
        <f>"72.000,00"</f>
        <v>72.000,00</v>
      </c>
      <c r="K763" s="2" t="s">
        <v>687</v>
      </c>
      <c r="L763" s="2" t="s">
        <v>1123</v>
      </c>
      <c r="M763" s="2" t="s">
        <v>30</v>
      </c>
      <c r="N763" s="2" t="str">
        <f>"29.12.2015"</f>
        <v>29.12.2015</v>
      </c>
      <c r="O763" s="3" t="str">
        <f>"15.000,00"</f>
        <v>15.000,00</v>
      </c>
      <c r="P763" s="4"/>
    </row>
    <row r="764" spans="2:16" ht="63" x14ac:dyDescent="0.25">
      <c r="B764" s="2">
        <v>535</v>
      </c>
      <c r="C764" s="2" t="str">
        <f>"1-15/NOS-82/14"</f>
        <v>1-15/NOS-82/14</v>
      </c>
      <c r="D764" s="2" t="s">
        <v>16</v>
      </c>
      <c r="E764" s="2" t="s">
        <v>690</v>
      </c>
      <c r="F764" s="2" t="s">
        <v>1140</v>
      </c>
      <c r="G764" s="2" t="str">
        <f>"1-15/NOS-82/14"</f>
        <v>1-15/NOS-82/14</v>
      </c>
      <c r="H764" s="2" t="str">
        <f t="shared" si="14"/>
        <v>Ugovor na temelju okvirnog sporazuma</v>
      </c>
      <c r="I764" s="2" t="s">
        <v>19</v>
      </c>
      <c r="J764" s="3" t="str">
        <f>"1.060.000,00"</f>
        <v>1.060.000,00</v>
      </c>
      <c r="K764" s="2" t="s">
        <v>1141</v>
      </c>
      <c r="L764" s="2" t="s">
        <v>934</v>
      </c>
      <c r="M764" s="2" t="s">
        <v>122</v>
      </c>
      <c r="N764" s="2" t="str">
        <f>"26.10.2015"</f>
        <v>26.10.2015</v>
      </c>
      <c r="O764" s="3" t="str">
        <f>"1.042.958,60"</f>
        <v>1.042.958,60</v>
      </c>
      <c r="P764" s="4"/>
    </row>
    <row r="765" spans="2:16" ht="63" x14ac:dyDescent="0.25">
      <c r="B765" s="2">
        <v>536</v>
      </c>
      <c r="C765" s="2" t="str">
        <f>"2-15/NOS-82/14"</f>
        <v>2-15/NOS-82/14</v>
      </c>
      <c r="D765" s="2" t="s">
        <v>16</v>
      </c>
      <c r="E765" s="2" t="s">
        <v>690</v>
      </c>
      <c r="F765" s="2" t="s">
        <v>1142</v>
      </c>
      <c r="G765" s="2" t="str">
        <f>"2-15/NOS-82/14"</f>
        <v>2-15/NOS-82/14</v>
      </c>
      <c r="H765" s="2" t="str">
        <f t="shared" si="14"/>
        <v>Ugovor na temelju okvirnog sporazuma</v>
      </c>
      <c r="I765" s="2" t="s">
        <v>19</v>
      </c>
      <c r="J765" s="3" t="str">
        <f>"1.060.000,00"</f>
        <v>1.060.000,00</v>
      </c>
      <c r="K765" s="2" t="s">
        <v>1141</v>
      </c>
      <c r="L765" s="2" t="s">
        <v>970</v>
      </c>
      <c r="M765" s="2" t="s">
        <v>122</v>
      </c>
      <c r="N765" s="2" t="str">
        <f>"14.01.2016"</f>
        <v>14.01.2016</v>
      </c>
      <c r="O765" s="3" t="str">
        <f>"384.940,00"</f>
        <v>384.940,00</v>
      </c>
      <c r="P765" s="4"/>
    </row>
    <row r="766" spans="2:16" ht="63" x14ac:dyDescent="0.25">
      <c r="B766" s="2">
        <v>537</v>
      </c>
      <c r="C766" s="2" t="str">
        <f>"38-15/NOS-109/13"</f>
        <v>38-15/NOS-109/13</v>
      </c>
      <c r="D766" s="2" t="s">
        <v>16</v>
      </c>
      <c r="E766" s="2" t="s">
        <v>690</v>
      </c>
      <c r="F766" s="2" t="s">
        <v>1143</v>
      </c>
      <c r="G766" s="2" t="str">
        <f>"38-15/NOS-109/13"</f>
        <v>38-15/NOS-109/13</v>
      </c>
      <c r="H766" s="2" t="str">
        <f t="shared" si="14"/>
        <v>Ugovor na temelju okvirnog sporazuma</v>
      </c>
      <c r="I766" s="2" t="s">
        <v>19</v>
      </c>
      <c r="J766" s="3" t="str">
        <f>"53.381,90"</f>
        <v>53.381,90</v>
      </c>
      <c r="K766" s="2" t="s">
        <v>468</v>
      </c>
      <c r="L766" s="2" t="s">
        <v>916</v>
      </c>
      <c r="M766" s="2" t="s">
        <v>44</v>
      </c>
      <c r="N766" s="2" t="str">
        <f>"13.01.2016"</f>
        <v>13.01.2016</v>
      </c>
      <c r="O766" s="3" t="str">
        <f>"18.113,50"</f>
        <v>18.113,50</v>
      </c>
      <c r="P766" s="4"/>
    </row>
    <row r="767" spans="2:16" ht="63" x14ac:dyDescent="0.25">
      <c r="B767" s="2">
        <v>538</v>
      </c>
      <c r="C767" s="2" t="str">
        <f>"10-15/NOS-121-C/14"</f>
        <v>10-15/NOS-121-C/14</v>
      </c>
      <c r="D767" s="2" t="s">
        <v>16</v>
      </c>
      <c r="E767" s="2" t="s">
        <v>690</v>
      </c>
      <c r="F767" s="2" t="s">
        <v>1144</v>
      </c>
      <c r="G767" s="2" t="str">
        <f>"10-15/NOS-121-C/14"</f>
        <v>10-15/NOS-121-C/14</v>
      </c>
      <c r="H767" s="2" t="str">
        <f t="shared" si="14"/>
        <v>Ugovor na temelju okvirnog sporazuma</v>
      </c>
      <c r="I767" s="2" t="s">
        <v>19</v>
      </c>
      <c r="J767" s="3" t="str">
        <f>"1.250.414,00"</f>
        <v>1.250.414,00</v>
      </c>
      <c r="K767" s="2" t="s">
        <v>468</v>
      </c>
      <c r="L767" s="2" t="s">
        <v>408</v>
      </c>
      <c r="M767" s="2" t="s">
        <v>84</v>
      </c>
      <c r="N767" s="2" t="str">
        <f>"12.01.2016"</f>
        <v>12.01.2016</v>
      </c>
      <c r="O767" s="3" t="str">
        <f>"1.185.634,00"</f>
        <v>1.185.634,00</v>
      </c>
      <c r="P767" s="4"/>
    </row>
    <row r="768" spans="2:16" ht="63" x14ac:dyDescent="0.25">
      <c r="B768" s="2">
        <v>539</v>
      </c>
      <c r="C768" s="2" t="str">
        <f>"1-15/NOS-121/15"</f>
        <v>1-15/NOS-121/15</v>
      </c>
      <c r="D768" s="2" t="s">
        <v>16</v>
      </c>
      <c r="E768" s="2" t="s">
        <v>690</v>
      </c>
      <c r="F768" s="2" t="s">
        <v>1145</v>
      </c>
      <c r="G768" s="2" t="str">
        <f>"1-15/NOS-121/15"</f>
        <v>1-15/NOS-121/15</v>
      </c>
      <c r="H768" s="2" t="str">
        <f t="shared" si="14"/>
        <v>Ugovor na temelju okvirnog sporazuma</v>
      </c>
      <c r="I768" s="2" t="s">
        <v>19</v>
      </c>
      <c r="J768" s="3" t="str">
        <f>"87.500,00"</f>
        <v>87.500,00</v>
      </c>
      <c r="K768" s="2" t="s">
        <v>1146</v>
      </c>
      <c r="L768" s="2" t="s">
        <v>913</v>
      </c>
      <c r="M768" s="2" t="s">
        <v>542</v>
      </c>
      <c r="N768" s="2" t="str">
        <f>"08.01.2016"</f>
        <v>08.01.2016</v>
      </c>
      <c r="O768" s="3" t="str">
        <f>"52.500,00"</f>
        <v>52.500,00</v>
      </c>
      <c r="P768" s="4"/>
    </row>
    <row r="769" spans="2:16" ht="78.75" x14ac:dyDescent="0.25">
      <c r="B769" s="2">
        <v>540</v>
      </c>
      <c r="C769" s="2" t="str">
        <f>"1-15/NOS-123/15"</f>
        <v>1-15/NOS-123/15</v>
      </c>
      <c r="D769" s="2" t="s">
        <v>16</v>
      </c>
      <c r="E769" s="2" t="s">
        <v>690</v>
      </c>
      <c r="F769" s="2" t="s">
        <v>1147</v>
      </c>
      <c r="G769" s="2" t="str">
        <f>"1-15/NOS-123/15"</f>
        <v>1-15/NOS-123/15</v>
      </c>
      <c r="H769" s="2" t="str">
        <f t="shared" si="14"/>
        <v>Ugovor na temelju okvirnog sporazuma</v>
      </c>
      <c r="I769" s="2" t="s">
        <v>19</v>
      </c>
      <c r="J769" s="3" t="str">
        <f>"262.000,00"</f>
        <v>262.000,00</v>
      </c>
      <c r="K769" s="2" t="s">
        <v>1148</v>
      </c>
      <c r="L769" s="2" t="s">
        <v>982</v>
      </c>
      <c r="M769" s="2" t="s">
        <v>551</v>
      </c>
      <c r="N769" s="2" t="s">
        <v>23</v>
      </c>
      <c r="O769" s="3" t="str">
        <f>"0,00"</f>
        <v>0,00</v>
      </c>
      <c r="P769" s="4"/>
    </row>
    <row r="770" spans="2:16" ht="63" x14ac:dyDescent="0.25">
      <c r="B770" s="2">
        <v>541</v>
      </c>
      <c r="C770" s="2" t="str">
        <f>"3-15/NOS-80-ZGH-L/14"</f>
        <v>3-15/NOS-80-ZGH-L/14</v>
      </c>
      <c r="D770" s="2" t="s">
        <v>16</v>
      </c>
      <c r="E770" s="2" t="s">
        <v>690</v>
      </c>
      <c r="F770" s="2" t="s">
        <v>1149</v>
      </c>
      <c r="G770" s="2" t="str">
        <f>"3-15/NOS-80-ZGH-L/14"</f>
        <v>3-15/NOS-80-ZGH-L/14</v>
      </c>
      <c r="H770" s="2" t="str">
        <f t="shared" si="14"/>
        <v>Ugovor na temelju okvirnog sporazuma</v>
      </c>
      <c r="I770" s="2" t="s">
        <v>19</v>
      </c>
      <c r="J770" s="3" t="str">
        <f>"1.492.100,98"</f>
        <v>1.492.100,98</v>
      </c>
      <c r="K770" s="2" t="s">
        <v>1150</v>
      </c>
      <c r="L770" s="2" t="s">
        <v>934</v>
      </c>
      <c r="M770" s="2" t="s">
        <v>939</v>
      </c>
      <c r="N770" s="2" t="str">
        <f>"10.12.2015"</f>
        <v>10.12.2015</v>
      </c>
      <c r="O770" s="3" t="str">
        <f>"210.900,00"</f>
        <v>210.900,00</v>
      </c>
      <c r="P770" s="4"/>
    </row>
    <row r="771" spans="2:16" ht="63" x14ac:dyDescent="0.25">
      <c r="B771" s="2">
        <v>542</v>
      </c>
      <c r="C771" s="2" t="str">
        <f>"5-15/NOS-80-ZGH-H/14"</f>
        <v>5-15/NOS-80-ZGH-H/14</v>
      </c>
      <c r="D771" s="2" t="s">
        <v>16</v>
      </c>
      <c r="E771" s="2" t="s">
        <v>690</v>
      </c>
      <c r="F771" s="2" t="s">
        <v>1151</v>
      </c>
      <c r="G771" s="2" t="str">
        <f>"5-15/NOS-80-ZGH-H/14"</f>
        <v>5-15/NOS-80-ZGH-H/14</v>
      </c>
      <c r="H771" s="2" t="str">
        <f t="shared" si="14"/>
        <v>Ugovor na temelju okvirnog sporazuma</v>
      </c>
      <c r="I771" s="2" t="s">
        <v>19</v>
      </c>
      <c r="J771" s="3" t="str">
        <f>"871.907,00"</f>
        <v>871.907,00</v>
      </c>
      <c r="K771" s="2" t="s">
        <v>1152</v>
      </c>
      <c r="L771" s="2" t="s">
        <v>934</v>
      </c>
      <c r="M771" s="2" t="s">
        <v>1153</v>
      </c>
      <c r="N771" s="2" t="str">
        <f>"08.12.2015"</f>
        <v>08.12.2015</v>
      </c>
      <c r="O771" s="3" t="str">
        <f>"129.390,00"</f>
        <v>129.390,00</v>
      </c>
      <c r="P771" s="4"/>
    </row>
    <row r="772" spans="2:16" ht="63" x14ac:dyDescent="0.25">
      <c r="B772" s="2">
        <v>543</v>
      </c>
      <c r="C772" s="2" t="str">
        <f>"2-15/NOS-80-ZGH-F/14"</f>
        <v>2-15/NOS-80-ZGH-F/14</v>
      </c>
      <c r="D772" s="2" t="s">
        <v>16</v>
      </c>
      <c r="E772" s="2" t="s">
        <v>690</v>
      </c>
      <c r="F772" s="2" t="s">
        <v>1154</v>
      </c>
      <c r="G772" s="2" t="str">
        <f>"2-15/NOS-80-ZGH-F/14"</f>
        <v>2-15/NOS-80-ZGH-F/14</v>
      </c>
      <c r="H772" s="2" t="str">
        <f t="shared" si="14"/>
        <v>Ugovor na temelju okvirnog sporazuma</v>
      </c>
      <c r="I772" s="2" t="s">
        <v>19</v>
      </c>
      <c r="J772" s="3" t="str">
        <f>"1.260.140,00"</f>
        <v>1.260.140,00</v>
      </c>
      <c r="K772" s="2" t="s">
        <v>1152</v>
      </c>
      <c r="L772" s="2" t="s">
        <v>934</v>
      </c>
      <c r="M772" s="2" t="s">
        <v>138</v>
      </c>
      <c r="N772" s="2" t="str">
        <f>"10.12.2015"</f>
        <v>10.12.2015</v>
      </c>
      <c r="O772" s="3" t="str">
        <f>"198.900,00"</f>
        <v>198.900,00</v>
      </c>
      <c r="P772" s="4"/>
    </row>
    <row r="773" spans="2:16" ht="63" x14ac:dyDescent="0.25">
      <c r="B773" s="2">
        <v>544</v>
      </c>
      <c r="C773" s="2" t="str">
        <f>"5-15/NOS-80-ZGH-D/14"</f>
        <v>5-15/NOS-80-ZGH-D/14</v>
      </c>
      <c r="D773" s="2" t="s">
        <v>16</v>
      </c>
      <c r="E773" s="2" t="s">
        <v>690</v>
      </c>
      <c r="F773" s="2" t="s">
        <v>1155</v>
      </c>
      <c r="G773" s="2" t="str">
        <f>"5-15/NOS-80-ZGH-D/14"</f>
        <v>5-15/NOS-80-ZGH-D/14</v>
      </c>
      <c r="H773" s="2" t="str">
        <f t="shared" si="14"/>
        <v>Ugovor na temelju okvirnog sporazuma</v>
      </c>
      <c r="I773" s="2" t="s">
        <v>19</v>
      </c>
      <c r="J773" s="3" t="str">
        <f>"1.334.986,00"</f>
        <v>1.334.986,00</v>
      </c>
      <c r="K773" s="2" t="s">
        <v>1152</v>
      </c>
      <c r="L773" s="2" t="s">
        <v>934</v>
      </c>
      <c r="M773" s="2" t="s">
        <v>1156</v>
      </c>
      <c r="N773" s="2" t="str">
        <f>"12.01.2016"</f>
        <v>12.01.2016</v>
      </c>
      <c r="O773" s="3" t="str">
        <f>"454.243,40"</f>
        <v>454.243,40</v>
      </c>
      <c r="P773" s="4"/>
    </row>
    <row r="774" spans="2:16" ht="63" x14ac:dyDescent="0.25">
      <c r="B774" s="2">
        <v>545</v>
      </c>
      <c r="C774" s="2" t="str">
        <f>"1-15/NOS-80-ZGH-G/14"</f>
        <v>1-15/NOS-80-ZGH-G/14</v>
      </c>
      <c r="D774" s="2" t="s">
        <v>16</v>
      </c>
      <c r="E774" s="2" t="s">
        <v>690</v>
      </c>
      <c r="F774" s="2" t="s">
        <v>1157</v>
      </c>
      <c r="G774" s="2" t="str">
        <f>"1-15/NOS-80-ZGH-G/14"</f>
        <v>1-15/NOS-80-ZGH-G/14</v>
      </c>
      <c r="H774" s="2" t="str">
        <f t="shared" si="14"/>
        <v>Ugovor na temelju okvirnog sporazuma</v>
      </c>
      <c r="I774" s="2" t="s">
        <v>19</v>
      </c>
      <c r="J774" s="3" t="str">
        <f>"2.521.720,00"</f>
        <v>2.521.720,00</v>
      </c>
      <c r="K774" s="2" t="s">
        <v>1152</v>
      </c>
      <c r="L774" s="2" t="s">
        <v>934</v>
      </c>
      <c r="M774" s="2" t="s">
        <v>1158</v>
      </c>
      <c r="N774" s="2" t="str">
        <f>"09.12.2015"</f>
        <v>09.12.2015</v>
      </c>
      <c r="O774" s="3" t="str">
        <f>"205.650,00"</f>
        <v>205.650,00</v>
      </c>
      <c r="P774" s="4"/>
    </row>
    <row r="775" spans="2:16" ht="63" x14ac:dyDescent="0.25">
      <c r="B775" s="2">
        <v>546</v>
      </c>
      <c r="C775" s="2" t="str">
        <f>"3-15/NOS-80-ZGH-J/14"</f>
        <v>3-15/NOS-80-ZGH-J/14</v>
      </c>
      <c r="D775" s="2" t="s">
        <v>16</v>
      </c>
      <c r="E775" s="2" t="s">
        <v>690</v>
      </c>
      <c r="F775" s="2" t="s">
        <v>1159</v>
      </c>
      <c r="G775" s="2" t="str">
        <f>"3-15/NOS-80-ZGH-J/14"</f>
        <v>3-15/NOS-80-ZGH-J/14</v>
      </c>
      <c r="H775" s="2" t="str">
        <f t="shared" si="14"/>
        <v>Ugovor na temelju okvirnog sporazuma</v>
      </c>
      <c r="I775" s="2" t="s">
        <v>19</v>
      </c>
      <c r="J775" s="3" t="str">
        <f>"3.219.824,00"</f>
        <v>3.219.824,00</v>
      </c>
      <c r="K775" s="2" t="s">
        <v>1152</v>
      </c>
      <c r="L775" s="2" t="s">
        <v>934</v>
      </c>
      <c r="M775" s="2" t="s">
        <v>1160</v>
      </c>
      <c r="N775" s="2" t="str">
        <f>"14.01.2016"</f>
        <v>14.01.2016</v>
      </c>
      <c r="O775" s="3" t="str">
        <f>"1.019.956,00"</f>
        <v>1.019.956,00</v>
      </c>
      <c r="P775" s="4"/>
    </row>
    <row r="776" spans="2:16" ht="63" x14ac:dyDescent="0.25">
      <c r="B776" s="2">
        <v>547</v>
      </c>
      <c r="C776" s="2" t="str">
        <f>"3-15/NOS-80-ZGH-E/14"</f>
        <v>3-15/NOS-80-ZGH-E/14</v>
      </c>
      <c r="D776" s="2" t="s">
        <v>16</v>
      </c>
      <c r="E776" s="2" t="s">
        <v>690</v>
      </c>
      <c r="F776" s="2" t="s">
        <v>1161</v>
      </c>
      <c r="G776" s="2" t="str">
        <f>"3-15/NOS-80-ZGH-E/14"</f>
        <v>3-15/NOS-80-ZGH-E/14</v>
      </c>
      <c r="H776" s="2" t="str">
        <f t="shared" si="14"/>
        <v>Ugovor na temelju okvirnog sporazuma</v>
      </c>
      <c r="I776" s="2" t="s">
        <v>19</v>
      </c>
      <c r="J776" s="3" t="str">
        <f>"1.294.000,00"</f>
        <v>1.294.000,00</v>
      </c>
      <c r="K776" s="2" t="s">
        <v>1152</v>
      </c>
      <c r="L776" s="2" t="s">
        <v>934</v>
      </c>
      <c r="M776" s="2" t="s">
        <v>1162</v>
      </c>
      <c r="N776" s="2" t="str">
        <f>"13.01.2016"</f>
        <v>13.01.2016</v>
      </c>
      <c r="O776" s="3" t="str">
        <f>"419.576,00"</f>
        <v>419.576,00</v>
      </c>
      <c r="P776" s="4"/>
    </row>
    <row r="777" spans="2:16" ht="63" x14ac:dyDescent="0.25">
      <c r="B777" s="2">
        <v>548</v>
      </c>
      <c r="C777" s="2" t="str">
        <f>"3-15/NOS-80-ZGH-I/14"</f>
        <v>3-15/NOS-80-ZGH-I/14</v>
      </c>
      <c r="D777" s="2" t="s">
        <v>16</v>
      </c>
      <c r="E777" s="2" t="s">
        <v>690</v>
      </c>
      <c r="F777" s="2" t="s">
        <v>1163</v>
      </c>
      <c r="G777" s="2" t="str">
        <f>"3-15/NOS-80-ZGH-I/14"</f>
        <v>3-15/NOS-80-ZGH-I/14</v>
      </c>
      <c r="H777" s="2" t="str">
        <f t="shared" si="14"/>
        <v>Ugovor na temelju okvirnog sporazuma</v>
      </c>
      <c r="I777" s="2" t="s">
        <v>19</v>
      </c>
      <c r="J777" s="3" t="str">
        <f>"1.913.696,00"</f>
        <v>1.913.696,00</v>
      </c>
      <c r="K777" s="2" t="s">
        <v>1152</v>
      </c>
      <c r="L777" s="2" t="s">
        <v>934</v>
      </c>
      <c r="M777" s="2" t="s">
        <v>122</v>
      </c>
      <c r="N777" s="2" t="str">
        <f>"12.01.2016"</f>
        <v>12.01.2016</v>
      </c>
      <c r="O777" s="3" t="str">
        <f>"583.510,00"</f>
        <v>583.510,00</v>
      </c>
      <c r="P777" s="4"/>
    </row>
    <row r="778" spans="2:16" ht="63" x14ac:dyDescent="0.25">
      <c r="B778" s="2">
        <v>549</v>
      </c>
      <c r="C778" s="2" t="str">
        <f>"3-15/NOS-80-ZGH-B/14"</f>
        <v>3-15/NOS-80-ZGH-B/14</v>
      </c>
      <c r="D778" s="2" t="s">
        <v>16</v>
      </c>
      <c r="E778" s="2" t="s">
        <v>690</v>
      </c>
      <c r="F778" s="2" t="s">
        <v>1164</v>
      </c>
      <c r="G778" s="2" t="str">
        <f>"3-15/NOS-80-ZGH-B/14"</f>
        <v>3-15/NOS-80-ZGH-B/14</v>
      </c>
      <c r="H778" s="2" t="str">
        <f t="shared" si="14"/>
        <v>Ugovor na temelju okvirnog sporazuma</v>
      </c>
      <c r="I778" s="2" t="s">
        <v>19</v>
      </c>
      <c r="J778" s="3" t="str">
        <f>"1.228.878,80"</f>
        <v>1.228.878,80</v>
      </c>
      <c r="K778" s="2" t="s">
        <v>1152</v>
      </c>
      <c r="L778" s="2" t="s">
        <v>934</v>
      </c>
      <c r="M778" s="2" t="s">
        <v>338</v>
      </c>
      <c r="N778" s="2" t="str">
        <f>"12.01.2016"</f>
        <v>12.01.2016</v>
      </c>
      <c r="O778" s="3" t="str">
        <f>"376.814,45"</f>
        <v>376.814,45</v>
      </c>
      <c r="P778" s="4"/>
    </row>
    <row r="779" spans="2:16" ht="63" x14ac:dyDescent="0.25">
      <c r="B779" s="2">
        <v>550</v>
      </c>
      <c r="C779" s="2" t="str">
        <f>"4-15/NOS-80-ZGH-A/14"</f>
        <v>4-15/NOS-80-ZGH-A/14</v>
      </c>
      <c r="D779" s="2" t="s">
        <v>16</v>
      </c>
      <c r="E779" s="2" t="s">
        <v>690</v>
      </c>
      <c r="F779" s="2" t="s">
        <v>1165</v>
      </c>
      <c r="G779" s="2" t="str">
        <f>"4-15/NOS-80-ZGH-A/14"</f>
        <v>4-15/NOS-80-ZGH-A/14</v>
      </c>
      <c r="H779" s="2" t="str">
        <f t="shared" si="14"/>
        <v>Ugovor na temelju okvirnog sporazuma</v>
      </c>
      <c r="I779" s="2" t="s">
        <v>19</v>
      </c>
      <c r="J779" s="3" t="str">
        <f>"1.643.570,00"</f>
        <v>1.643.570,00</v>
      </c>
      <c r="K779" s="2" t="s">
        <v>1150</v>
      </c>
      <c r="L779" s="2" t="s">
        <v>934</v>
      </c>
      <c r="M779" s="2" t="s">
        <v>344</v>
      </c>
      <c r="N779" s="2" t="str">
        <f>"13.01.2016"</f>
        <v>13.01.2016</v>
      </c>
      <c r="O779" s="3" t="str">
        <f>"498.442,00"</f>
        <v>498.442,00</v>
      </c>
      <c r="P779" s="4"/>
    </row>
    <row r="780" spans="2:16" ht="63" x14ac:dyDescent="0.25">
      <c r="B780" s="2">
        <v>551</v>
      </c>
      <c r="C780" s="2" t="str">
        <f>"2-15/NOS-90/15"</f>
        <v>2-15/NOS-90/15</v>
      </c>
      <c r="D780" s="2" t="s">
        <v>16</v>
      </c>
      <c r="E780" s="2" t="s">
        <v>690</v>
      </c>
      <c r="F780" s="2" t="s">
        <v>1166</v>
      </c>
      <c r="G780" s="2" t="str">
        <f>"2-15/NOS-90/15"</f>
        <v>2-15/NOS-90/15</v>
      </c>
      <c r="H780" s="2" t="str">
        <f t="shared" si="14"/>
        <v>Ugovor na temelju okvirnog sporazuma</v>
      </c>
      <c r="I780" s="2" t="s">
        <v>19</v>
      </c>
      <c r="J780" s="3" t="str">
        <f>"62.561,75"</f>
        <v>62.561,75</v>
      </c>
      <c r="K780" s="2" t="s">
        <v>1167</v>
      </c>
      <c r="L780" s="2" t="s">
        <v>916</v>
      </c>
      <c r="M780" s="2" t="s">
        <v>44</v>
      </c>
      <c r="N780" s="2" t="str">
        <f>"13.01.2016"</f>
        <v>13.01.2016</v>
      </c>
      <c r="O780" s="3" t="str">
        <f>"9.990,50"</f>
        <v>9.990,50</v>
      </c>
      <c r="P780" s="4"/>
    </row>
    <row r="781" spans="2:16" ht="63" x14ac:dyDescent="0.25">
      <c r="B781" s="2">
        <v>552</v>
      </c>
      <c r="C781" s="2" t="str">
        <f>"5-15/NOS-80-ZGH-K/14"</f>
        <v>5-15/NOS-80-ZGH-K/14</v>
      </c>
      <c r="D781" s="2" t="s">
        <v>16</v>
      </c>
      <c r="E781" s="2" t="s">
        <v>690</v>
      </c>
      <c r="F781" s="2" t="s">
        <v>1168</v>
      </c>
      <c r="G781" s="2" t="str">
        <f>"5-15/NOS-80-ZGH-K/14"</f>
        <v>5-15/NOS-80-ZGH-K/14</v>
      </c>
      <c r="H781" s="2" t="str">
        <f t="shared" si="14"/>
        <v>Ugovor na temelju okvirnog sporazuma</v>
      </c>
      <c r="I781" s="2" t="s">
        <v>19</v>
      </c>
      <c r="J781" s="3" t="str">
        <f>"1.094.933,00"</f>
        <v>1.094.933,00</v>
      </c>
      <c r="K781" s="2" t="s">
        <v>1167</v>
      </c>
      <c r="L781" s="2" t="s">
        <v>934</v>
      </c>
      <c r="M781" s="2" t="s">
        <v>1169</v>
      </c>
      <c r="N781" s="2" t="str">
        <f>"13.01.2016"</f>
        <v>13.01.2016</v>
      </c>
      <c r="O781" s="3" t="str">
        <f>"398.066,59"</f>
        <v>398.066,59</v>
      </c>
      <c r="P781" s="4"/>
    </row>
    <row r="782" spans="2:16" ht="63" x14ac:dyDescent="0.25">
      <c r="B782" s="2">
        <v>553</v>
      </c>
      <c r="C782" s="2" t="str">
        <f>"3-15/NOS-80-ZGH-C/14"</f>
        <v>3-15/NOS-80-ZGH-C/14</v>
      </c>
      <c r="D782" s="2" t="s">
        <v>16</v>
      </c>
      <c r="E782" s="2" t="s">
        <v>690</v>
      </c>
      <c r="F782" s="2" t="s">
        <v>1170</v>
      </c>
      <c r="G782" s="2" t="str">
        <f>"3-15/NOS-80-ZGH-C/14"</f>
        <v>3-15/NOS-80-ZGH-C/14</v>
      </c>
      <c r="H782" s="2" t="str">
        <f t="shared" si="14"/>
        <v>Ugovor na temelju okvirnog sporazuma</v>
      </c>
      <c r="I782" s="2" t="s">
        <v>19</v>
      </c>
      <c r="J782" s="3" t="str">
        <f>"1.363.972,00"</f>
        <v>1.363.972,00</v>
      </c>
      <c r="K782" s="2" t="s">
        <v>782</v>
      </c>
      <c r="L782" s="2" t="s">
        <v>934</v>
      </c>
      <c r="M782" s="2" t="s">
        <v>340</v>
      </c>
      <c r="N782" s="2" t="str">
        <f>"10.12.2015"</f>
        <v>10.12.2015</v>
      </c>
      <c r="O782" s="3" t="str">
        <f>"198.089,65"</f>
        <v>198.089,65</v>
      </c>
      <c r="P782" s="4"/>
    </row>
    <row r="783" spans="2:16" ht="63" x14ac:dyDescent="0.25">
      <c r="B783" s="2">
        <v>554</v>
      </c>
      <c r="C783" s="2" t="str">
        <f>"1-15/NOS-80-ZGH-M/14"</f>
        <v>1-15/NOS-80-ZGH-M/14</v>
      </c>
      <c r="D783" s="2" t="s">
        <v>16</v>
      </c>
      <c r="E783" s="2" t="s">
        <v>690</v>
      </c>
      <c r="F783" s="2" t="s">
        <v>1171</v>
      </c>
      <c r="G783" s="2" t="str">
        <f>"1-15/NOS-80-ZGH-M/14"</f>
        <v>1-15/NOS-80-ZGH-M/14</v>
      </c>
      <c r="H783" s="2" t="str">
        <f t="shared" si="14"/>
        <v>Ugovor na temelju okvirnog sporazuma</v>
      </c>
      <c r="I783" s="2" t="s">
        <v>19</v>
      </c>
      <c r="J783" s="3" t="str">
        <f>"92.500,00"</f>
        <v>92.500,00</v>
      </c>
      <c r="K783" s="2" t="s">
        <v>1089</v>
      </c>
      <c r="L783" s="2" t="s">
        <v>934</v>
      </c>
      <c r="M783" s="2" t="s">
        <v>1172</v>
      </c>
      <c r="N783" s="2" t="s">
        <v>23</v>
      </c>
      <c r="O783" s="3" t="str">
        <f>"0,00"</f>
        <v>0,00</v>
      </c>
      <c r="P783" s="4"/>
    </row>
    <row r="784" spans="2:16" ht="78.75" x14ac:dyDescent="0.25">
      <c r="B784" s="2">
        <v>555</v>
      </c>
      <c r="C784" s="2" t="str">
        <f>"8-15/NOS-35/14"</f>
        <v>8-15/NOS-35/14</v>
      </c>
      <c r="D784" s="2" t="s">
        <v>16</v>
      </c>
      <c r="E784" s="2" t="s">
        <v>690</v>
      </c>
      <c r="F784" s="2" t="s">
        <v>1173</v>
      </c>
      <c r="G784" s="2" t="str">
        <f>"8-15/NOS-35/14"</f>
        <v>8-15/NOS-35/14</v>
      </c>
      <c r="H784" s="2" t="str">
        <f t="shared" si="14"/>
        <v>Ugovor na temelju okvirnog sporazuma</v>
      </c>
      <c r="I784" s="2" t="s">
        <v>19</v>
      </c>
      <c r="J784" s="3" t="str">
        <f>"130.775,00"</f>
        <v>130.775,00</v>
      </c>
      <c r="K784" s="2" t="s">
        <v>1174</v>
      </c>
      <c r="L784" s="2" t="s">
        <v>913</v>
      </c>
      <c r="M784" s="2" t="s">
        <v>957</v>
      </c>
      <c r="N784" s="2" t="str">
        <f>"12.01.2016"</f>
        <v>12.01.2016</v>
      </c>
      <c r="O784" s="3" t="str">
        <f>"31.415,00"</f>
        <v>31.415,00</v>
      </c>
      <c r="P784" s="4"/>
    </row>
    <row r="785" spans="2:16" s="19" customFormat="1" ht="78.75" x14ac:dyDescent="0.25">
      <c r="B785" s="16">
        <v>556</v>
      </c>
      <c r="C785" s="16" t="str">
        <f>"2-15/NOS-64/15"</f>
        <v>2-15/NOS-64/15</v>
      </c>
      <c r="D785" s="16" t="s">
        <v>16</v>
      </c>
      <c r="E785" s="16" t="s">
        <v>690</v>
      </c>
      <c r="F785" s="16" t="s">
        <v>1175</v>
      </c>
      <c r="G785" s="16" t="str">
        <f>"2-15/NOS-64/15"</f>
        <v>2-15/NOS-64/15</v>
      </c>
      <c r="H785" s="16" t="str">
        <f t="shared" si="14"/>
        <v>Ugovor na temelju okvirnog sporazuma</v>
      </c>
      <c r="I785" s="16" t="s">
        <v>19</v>
      </c>
      <c r="J785" s="17" t="str">
        <f>"163.437,00"</f>
        <v>163.437,00</v>
      </c>
      <c r="K785" s="16" t="s">
        <v>1176</v>
      </c>
      <c r="L785" s="16" t="s">
        <v>804</v>
      </c>
      <c r="M785" s="16" t="s">
        <v>334</v>
      </c>
      <c r="N785" s="16" t="str">
        <f>"17.12.2015"</f>
        <v>17.12.2015</v>
      </c>
      <c r="O785" s="17" t="str">
        <f>"179.448,06"</f>
        <v>179.448,06</v>
      </c>
      <c r="P785" s="16" t="s">
        <v>777</v>
      </c>
    </row>
    <row r="786" spans="2:16" s="19" customFormat="1" ht="63" x14ac:dyDescent="0.25">
      <c r="B786" s="16">
        <v>557</v>
      </c>
      <c r="C786" s="16" t="str">
        <f>"1-15/NOS-64/15"</f>
        <v>1-15/NOS-64/15</v>
      </c>
      <c r="D786" s="16" t="s">
        <v>16</v>
      </c>
      <c r="E786" s="16" t="s">
        <v>690</v>
      </c>
      <c r="F786" s="16" t="s">
        <v>1177</v>
      </c>
      <c r="G786" s="16" t="str">
        <f>"1-15/NOS-64/15"</f>
        <v>1-15/NOS-64/15</v>
      </c>
      <c r="H786" s="16" t="str">
        <f t="shared" si="14"/>
        <v>Ugovor na temelju okvirnog sporazuma</v>
      </c>
      <c r="I786" s="16" t="s">
        <v>19</v>
      </c>
      <c r="J786" s="17" t="str">
        <f>"216.920,00"</f>
        <v>216.920,00</v>
      </c>
      <c r="K786" s="16" t="s">
        <v>1176</v>
      </c>
      <c r="L786" s="16" t="s">
        <v>804</v>
      </c>
      <c r="M786" s="16" t="s">
        <v>334</v>
      </c>
      <c r="N786" s="16" t="str">
        <f>"17.12.2015"</f>
        <v>17.12.2015</v>
      </c>
      <c r="O786" s="17" t="str">
        <f>"238.579,90"</f>
        <v>238.579,90</v>
      </c>
      <c r="P786" s="16" t="s">
        <v>777</v>
      </c>
    </row>
    <row r="787" spans="2:16" ht="63" x14ac:dyDescent="0.25">
      <c r="B787" s="2">
        <v>558</v>
      </c>
      <c r="C787" s="2" t="str">
        <f>"4-15/NOS-89-B/15"</f>
        <v>4-15/NOS-89-B/15</v>
      </c>
      <c r="D787" s="2" t="s">
        <v>16</v>
      </c>
      <c r="E787" s="2" t="s">
        <v>690</v>
      </c>
      <c r="F787" s="2" t="s">
        <v>1178</v>
      </c>
      <c r="G787" s="2" t="str">
        <f>"4-15/NOS-89-B/15"</f>
        <v>4-15/NOS-89-B/15</v>
      </c>
      <c r="H787" s="2" t="str">
        <f t="shared" si="14"/>
        <v>Ugovor na temelju okvirnog sporazuma</v>
      </c>
      <c r="I787" s="2" t="s">
        <v>19</v>
      </c>
      <c r="J787" s="3" t="str">
        <f>"29.160,00"</f>
        <v>29.160,00</v>
      </c>
      <c r="K787" s="2" t="s">
        <v>1179</v>
      </c>
      <c r="L787" s="2" t="s">
        <v>974</v>
      </c>
      <c r="M787" s="2" t="s">
        <v>524</v>
      </c>
      <c r="N787" s="2" t="str">
        <f>"30.12.2015"</f>
        <v>30.12.2015</v>
      </c>
      <c r="O787" s="3" t="str">
        <f>"9.585,00"</f>
        <v>9.585,00</v>
      </c>
      <c r="P787" s="4"/>
    </row>
    <row r="788" spans="2:16" ht="63" x14ac:dyDescent="0.25">
      <c r="B788" s="2">
        <v>559</v>
      </c>
      <c r="C788" s="2" t="str">
        <f>"24-15/NOS-189/13"</f>
        <v>24-15/NOS-189/13</v>
      </c>
      <c r="D788" s="2" t="s">
        <v>16</v>
      </c>
      <c r="E788" s="2" t="s">
        <v>690</v>
      </c>
      <c r="F788" s="2" t="s">
        <v>1180</v>
      </c>
      <c r="G788" s="2" t="str">
        <f>"24-15/NOS-189/13"</f>
        <v>24-15/NOS-189/13</v>
      </c>
      <c r="H788" s="2" t="str">
        <f t="shared" si="14"/>
        <v>Ugovor na temelju okvirnog sporazuma</v>
      </c>
      <c r="I788" s="2" t="s">
        <v>19</v>
      </c>
      <c r="J788" s="3" t="str">
        <f>"33.400,00"</f>
        <v>33.400,00</v>
      </c>
      <c r="K788" s="2" t="s">
        <v>1179</v>
      </c>
      <c r="L788" s="2" t="s">
        <v>982</v>
      </c>
      <c r="M788" s="2" t="s">
        <v>1181</v>
      </c>
      <c r="N788" s="2" t="str">
        <f>"18.12.2015"</f>
        <v>18.12.2015</v>
      </c>
      <c r="O788" s="3" t="str">
        <f>"3.230,59"</f>
        <v>3.230,59</v>
      </c>
      <c r="P788" s="4"/>
    </row>
    <row r="789" spans="2:16" ht="78.75" x14ac:dyDescent="0.25">
      <c r="B789" s="2">
        <v>560</v>
      </c>
      <c r="C789" s="2" t="str">
        <f>"3-15/NOS-64/15"</f>
        <v>3-15/NOS-64/15</v>
      </c>
      <c r="D789" s="2" t="s">
        <v>16</v>
      </c>
      <c r="E789" s="2" t="s">
        <v>690</v>
      </c>
      <c r="F789" s="2" t="s">
        <v>1182</v>
      </c>
      <c r="G789" s="2" t="str">
        <f>"3-15/NOS-64/15"</f>
        <v>3-15/NOS-64/15</v>
      </c>
      <c r="H789" s="2" t="str">
        <f t="shared" ref="H789:H820" si="15">"Ugovor na temelju okvirnog sporazuma"</f>
        <v>Ugovor na temelju okvirnog sporazuma</v>
      </c>
      <c r="I789" s="2" t="s">
        <v>19</v>
      </c>
      <c r="J789" s="3" t="str">
        <f>"128.580,00"</f>
        <v>128.580,00</v>
      </c>
      <c r="K789" s="2" t="s">
        <v>1179</v>
      </c>
      <c r="L789" s="2" t="s">
        <v>804</v>
      </c>
      <c r="M789" s="2" t="s">
        <v>343</v>
      </c>
      <c r="N789" s="2" t="s">
        <v>23</v>
      </c>
      <c r="O789" s="3" t="str">
        <f>"0,00"</f>
        <v>0,00</v>
      </c>
      <c r="P789" s="4"/>
    </row>
    <row r="790" spans="2:16" ht="63" x14ac:dyDescent="0.25">
      <c r="B790" s="2">
        <v>561</v>
      </c>
      <c r="C790" s="2" t="str">
        <f>"28-15/NOS-86/14"</f>
        <v>28-15/NOS-86/14</v>
      </c>
      <c r="D790" s="2" t="s">
        <v>16</v>
      </c>
      <c r="E790" s="2" t="s">
        <v>690</v>
      </c>
      <c r="F790" s="2" t="s">
        <v>1183</v>
      </c>
      <c r="G790" s="2" t="str">
        <f>"28-15/NOS-86/14"</f>
        <v>28-15/NOS-86/14</v>
      </c>
      <c r="H790" s="2" t="str">
        <f t="shared" si="15"/>
        <v>Ugovor na temelju okvirnog sporazuma</v>
      </c>
      <c r="I790" s="2" t="s">
        <v>19</v>
      </c>
      <c r="J790" s="3" t="str">
        <f>"653.600,00"</f>
        <v>653.600,00</v>
      </c>
      <c r="K790" s="2" t="s">
        <v>1184</v>
      </c>
      <c r="L790" s="2" t="s">
        <v>1185</v>
      </c>
      <c r="M790" s="2" t="s">
        <v>142</v>
      </c>
      <c r="N790" s="2" t="s">
        <v>23</v>
      </c>
      <c r="O790" s="3" t="str">
        <f>"0,00"</f>
        <v>0,00</v>
      </c>
      <c r="P790" s="4"/>
    </row>
    <row r="791" spans="2:16" ht="110.25" x14ac:dyDescent="0.25">
      <c r="B791" s="2">
        <v>562</v>
      </c>
      <c r="C791" s="2" t="str">
        <f>"3-15/NOS-100-A/15"</f>
        <v>3-15/NOS-100-A/15</v>
      </c>
      <c r="D791" s="2" t="s">
        <v>16</v>
      </c>
      <c r="E791" s="2" t="s">
        <v>690</v>
      </c>
      <c r="F791" s="2" t="s">
        <v>1186</v>
      </c>
      <c r="G791" s="2" t="str">
        <f>"3-15/NOS-100-A/15"</f>
        <v>3-15/NOS-100-A/15</v>
      </c>
      <c r="H791" s="2" t="str">
        <f t="shared" si="15"/>
        <v>Ugovor na temelju okvirnog sporazuma</v>
      </c>
      <c r="I791" s="2" t="s">
        <v>19</v>
      </c>
      <c r="J791" s="3" t="str">
        <f>"216.940,15"</f>
        <v>216.940,15</v>
      </c>
      <c r="K791" s="2" t="s">
        <v>1131</v>
      </c>
      <c r="L791" s="2" t="s">
        <v>970</v>
      </c>
      <c r="M791" s="2" t="s">
        <v>269</v>
      </c>
      <c r="N791" s="2" t="str">
        <f>"05.01.2016"</f>
        <v>05.01.2016</v>
      </c>
      <c r="O791" s="3" t="str">
        <f>"37.279,25"</f>
        <v>37.279,25</v>
      </c>
      <c r="P791" s="4"/>
    </row>
    <row r="792" spans="2:16" ht="63" x14ac:dyDescent="0.25">
      <c r="B792" s="2">
        <v>563</v>
      </c>
      <c r="C792" s="2" t="str">
        <f>"10-15/NOS-67/14"</f>
        <v>10-15/NOS-67/14</v>
      </c>
      <c r="D792" s="2" t="s">
        <v>16</v>
      </c>
      <c r="E792" s="2" t="s">
        <v>690</v>
      </c>
      <c r="F792" s="2" t="s">
        <v>1187</v>
      </c>
      <c r="G792" s="2" t="str">
        <f>"10-15/NOS-67/14"</f>
        <v>10-15/NOS-67/14</v>
      </c>
      <c r="H792" s="2" t="str">
        <f t="shared" si="15"/>
        <v>Ugovor na temelju okvirnog sporazuma</v>
      </c>
      <c r="I792" s="2" t="s">
        <v>19</v>
      </c>
      <c r="J792" s="3" t="str">
        <f>"143.229,56"</f>
        <v>143.229,56</v>
      </c>
      <c r="K792" s="2" t="s">
        <v>1131</v>
      </c>
      <c r="L792" s="2" t="s">
        <v>974</v>
      </c>
      <c r="M792" s="2" t="s">
        <v>44</v>
      </c>
      <c r="N792" s="2" t="str">
        <f>"14.01.2016"</f>
        <v>14.01.2016</v>
      </c>
      <c r="O792" s="3" t="str">
        <f>"30.552,39"</f>
        <v>30.552,39</v>
      </c>
      <c r="P792" s="2"/>
    </row>
    <row r="793" spans="2:16" ht="63" x14ac:dyDescent="0.25">
      <c r="B793" s="2">
        <v>564</v>
      </c>
      <c r="C793" s="2" t="str">
        <f>"10-15/NOS-29/14"</f>
        <v>10-15/NOS-29/14</v>
      </c>
      <c r="D793" s="2" t="s">
        <v>16</v>
      </c>
      <c r="E793" s="2" t="s">
        <v>690</v>
      </c>
      <c r="F793" s="2" t="s">
        <v>1188</v>
      </c>
      <c r="G793" s="2" t="str">
        <f>"10-15/NOS-29/14"</f>
        <v>10-15/NOS-29/14</v>
      </c>
      <c r="H793" s="2" t="str">
        <f t="shared" si="15"/>
        <v>Ugovor na temelju okvirnog sporazuma</v>
      </c>
      <c r="I793" s="2" t="s">
        <v>19</v>
      </c>
      <c r="J793" s="3" t="str">
        <f>"148.000,00"</f>
        <v>148.000,00</v>
      </c>
      <c r="K793" s="2" t="s">
        <v>1189</v>
      </c>
      <c r="L793" s="2" t="s">
        <v>1190</v>
      </c>
      <c r="M793" s="2" t="s">
        <v>980</v>
      </c>
      <c r="N793" s="2" t="s">
        <v>23</v>
      </c>
      <c r="O793" s="3" t="str">
        <f>"0,00"</f>
        <v>0,00</v>
      </c>
      <c r="P793" s="4"/>
    </row>
    <row r="794" spans="2:16" ht="78.75" x14ac:dyDescent="0.25">
      <c r="B794" s="2">
        <v>565</v>
      </c>
      <c r="C794" s="2" t="str">
        <f>"2-15/NOS-73/15"</f>
        <v>2-15/NOS-73/15</v>
      </c>
      <c r="D794" s="2" t="s">
        <v>16</v>
      </c>
      <c r="E794" s="2" t="s">
        <v>690</v>
      </c>
      <c r="F794" s="2" t="s">
        <v>1191</v>
      </c>
      <c r="G794" s="2" t="str">
        <f>"2-15/NOS-73/15"</f>
        <v>2-15/NOS-73/15</v>
      </c>
      <c r="H794" s="2" t="str">
        <f t="shared" si="15"/>
        <v>Ugovor na temelju okvirnog sporazuma</v>
      </c>
      <c r="I794" s="2" t="s">
        <v>19</v>
      </c>
      <c r="J794" s="3" t="str">
        <f>"1.910.000,00"</f>
        <v>1.910.000,00</v>
      </c>
      <c r="K794" s="2" t="s">
        <v>1189</v>
      </c>
      <c r="L794" s="2" t="s">
        <v>916</v>
      </c>
      <c r="M794" s="2" t="s">
        <v>130</v>
      </c>
      <c r="N794" s="2" t="str">
        <f>"22.12.2015"</f>
        <v>22.12.2015</v>
      </c>
      <c r="O794" s="3" t="str">
        <f>"1.059.899,60"</f>
        <v>1.059.899,60</v>
      </c>
      <c r="P794" s="4"/>
    </row>
    <row r="795" spans="2:16" ht="63" x14ac:dyDescent="0.25">
      <c r="B795" s="2">
        <v>566</v>
      </c>
      <c r="C795" s="2" t="str">
        <f>"2-15/NOS-116/15"</f>
        <v>2-15/NOS-116/15</v>
      </c>
      <c r="D795" s="2" t="s">
        <v>362</v>
      </c>
      <c r="E795" s="2" t="s">
        <v>690</v>
      </c>
      <c r="F795" s="2" t="s">
        <v>1192</v>
      </c>
      <c r="G795" s="2" t="str">
        <f>"2-15/NOS-116/15"</f>
        <v>2-15/NOS-116/15</v>
      </c>
      <c r="H795" s="2" t="str">
        <f t="shared" si="15"/>
        <v>Ugovor na temelju okvirnog sporazuma</v>
      </c>
      <c r="I795" s="2" t="s">
        <v>19</v>
      </c>
      <c r="J795" s="3" t="str">
        <f>"1.831.121,80"</f>
        <v>1.831.121,80</v>
      </c>
      <c r="K795" s="2" t="s">
        <v>1189</v>
      </c>
      <c r="L795" s="2" t="s">
        <v>1193</v>
      </c>
      <c r="M795" s="2" t="s">
        <v>462</v>
      </c>
      <c r="N795" s="2" t="s">
        <v>23</v>
      </c>
      <c r="O795" s="3" t="str">
        <f>"0,00"</f>
        <v>0,00</v>
      </c>
      <c r="P795" s="4"/>
    </row>
    <row r="796" spans="2:16" ht="78.75" x14ac:dyDescent="0.25">
      <c r="B796" s="2">
        <v>567</v>
      </c>
      <c r="C796" s="2" t="str">
        <f>"2-15/NOS-176-A/13"</f>
        <v>2-15/NOS-176-A/13</v>
      </c>
      <c r="D796" s="2" t="s">
        <v>16</v>
      </c>
      <c r="E796" s="2" t="s">
        <v>690</v>
      </c>
      <c r="F796" s="2" t="s">
        <v>1194</v>
      </c>
      <c r="G796" s="2" t="str">
        <f>"2-15/NOS-176-A/13"</f>
        <v>2-15/NOS-176-A/13</v>
      </c>
      <c r="H796" s="2" t="str">
        <f t="shared" si="15"/>
        <v>Ugovor na temelju okvirnog sporazuma</v>
      </c>
      <c r="I796" s="2" t="s">
        <v>19</v>
      </c>
      <c r="J796" s="3" t="str">
        <f>"23.347,60"</f>
        <v>23.347,60</v>
      </c>
      <c r="K796" s="2" t="s">
        <v>1195</v>
      </c>
      <c r="L796" s="2" t="s">
        <v>934</v>
      </c>
      <c r="M796" s="2" t="s">
        <v>939</v>
      </c>
      <c r="N796" s="2" t="s">
        <v>23</v>
      </c>
      <c r="O796" s="3" t="str">
        <f>"0,00"</f>
        <v>0,00</v>
      </c>
      <c r="P796" s="4"/>
    </row>
    <row r="797" spans="2:16" ht="94.5" x14ac:dyDescent="0.25">
      <c r="B797" s="2">
        <v>568</v>
      </c>
      <c r="C797" s="2" t="str">
        <f>"5-15/NOS-123/15"</f>
        <v>5-15/NOS-123/15</v>
      </c>
      <c r="D797" s="2" t="s">
        <v>1196</v>
      </c>
      <c r="E797" s="2" t="s">
        <v>690</v>
      </c>
      <c r="F797" s="2" t="s">
        <v>1197</v>
      </c>
      <c r="G797" s="2" t="str">
        <f>"5-15/NOS-123/15"</f>
        <v>5-15/NOS-123/15</v>
      </c>
      <c r="H797" s="2" t="str">
        <f t="shared" si="15"/>
        <v>Ugovor na temelju okvirnog sporazuma</v>
      </c>
      <c r="I797" s="2" t="s">
        <v>19</v>
      </c>
      <c r="J797" s="3" t="str">
        <f>"7.000,00"</f>
        <v>7.000,00</v>
      </c>
      <c r="K797" s="2" t="s">
        <v>1198</v>
      </c>
      <c r="L797" s="2" t="s">
        <v>982</v>
      </c>
      <c r="M797" s="2" t="s">
        <v>551</v>
      </c>
      <c r="N797" s="2" t="s">
        <v>23</v>
      </c>
      <c r="O797" s="3" t="str">
        <f>"0,00"</f>
        <v>0,00</v>
      </c>
      <c r="P797" s="4"/>
    </row>
    <row r="798" spans="2:16" ht="78.75" x14ac:dyDescent="0.25">
      <c r="B798" s="2">
        <v>569</v>
      </c>
      <c r="C798" s="2" t="str">
        <f>"4-15/NOS-123/15"</f>
        <v>4-15/NOS-123/15</v>
      </c>
      <c r="D798" s="2" t="s">
        <v>284</v>
      </c>
      <c r="E798" s="2" t="s">
        <v>690</v>
      </c>
      <c r="F798" s="2" t="s">
        <v>1199</v>
      </c>
      <c r="G798" s="2" t="str">
        <f>"4-15/NOS-123/15"</f>
        <v>4-15/NOS-123/15</v>
      </c>
      <c r="H798" s="2" t="str">
        <f t="shared" si="15"/>
        <v>Ugovor na temelju okvirnog sporazuma</v>
      </c>
      <c r="I798" s="2" t="s">
        <v>19</v>
      </c>
      <c r="J798" s="3" t="str">
        <f>"46.500,00"</f>
        <v>46.500,00</v>
      </c>
      <c r="K798" s="2" t="s">
        <v>1198</v>
      </c>
      <c r="L798" s="2" t="s">
        <v>982</v>
      </c>
      <c r="M798" s="2" t="s">
        <v>551</v>
      </c>
      <c r="N798" s="2" t="s">
        <v>23</v>
      </c>
      <c r="O798" s="3" t="str">
        <f>"0,00"</f>
        <v>0,00</v>
      </c>
      <c r="P798" s="4"/>
    </row>
    <row r="799" spans="2:16" ht="94.5" x14ac:dyDescent="0.25">
      <c r="B799" s="2">
        <v>570</v>
      </c>
      <c r="C799" s="2" t="str">
        <f>"5-15/NOS-84/14"</f>
        <v>5-15/NOS-84/14</v>
      </c>
      <c r="D799" s="2" t="s">
        <v>85</v>
      </c>
      <c r="E799" s="2" t="s">
        <v>690</v>
      </c>
      <c r="F799" s="2" t="s">
        <v>1200</v>
      </c>
      <c r="G799" s="2" t="str">
        <f>"5-15/NOS-84/14"</f>
        <v>5-15/NOS-84/14</v>
      </c>
      <c r="H799" s="2" t="str">
        <f t="shared" si="15"/>
        <v>Ugovor na temelju okvirnog sporazuma</v>
      </c>
      <c r="I799" s="2" t="s">
        <v>19</v>
      </c>
      <c r="J799" s="3" t="str">
        <f>"762.391,00"</f>
        <v>762.391,00</v>
      </c>
      <c r="K799" s="2" t="s">
        <v>717</v>
      </c>
      <c r="L799" s="2" t="s">
        <v>982</v>
      </c>
      <c r="M799" s="2" t="s">
        <v>1201</v>
      </c>
      <c r="N799" s="2" t="s">
        <v>23</v>
      </c>
      <c r="O799" s="3" t="str">
        <f>"0,00"</f>
        <v>0,00</v>
      </c>
      <c r="P799" s="4"/>
    </row>
    <row r="800" spans="2:16" ht="63" x14ac:dyDescent="0.25">
      <c r="B800" s="2">
        <v>571</v>
      </c>
      <c r="C800" s="2" t="str">
        <f>"7-15/NOS-81/15"</f>
        <v>7-15/NOS-81/15</v>
      </c>
      <c r="D800" s="2" t="s">
        <v>16</v>
      </c>
      <c r="E800" s="2" t="s">
        <v>690</v>
      </c>
      <c r="F800" s="2" t="s">
        <v>1202</v>
      </c>
      <c r="G800" s="2" t="str">
        <f>"7-15/NOS-81/15"</f>
        <v>7-15/NOS-81/15</v>
      </c>
      <c r="H800" s="2" t="str">
        <f t="shared" si="15"/>
        <v>Ugovor na temelju okvirnog sporazuma</v>
      </c>
      <c r="I800" s="2" t="s">
        <v>19</v>
      </c>
      <c r="J800" s="3" t="str">
        <f>"830.000,00"</f>
        <v>830.000,00</v>
      </c>
      <c r="K800" s="2" t="s">
        <v>1203</v>
      </c>
      <c r="L800" s="2" t="s">
        <v>916</v>
      </c>
      <c r="M800" s="2" t="s">
        <v>522</v>
      </c>
      <c r="N800" s="2" t="str">
        <f>"29.12.2015"</f>
        <v>29.12.2015</v>
      </c>
      <c r="O800" s="3" t="str">
        <f>"622.500,00"</f>
        <v>622.500,00</v>
      </c>
      <c r="P800" s="4"/>
    </row>
    <row r="801" spans="2:16" ht="63" x14ac:dyDescent="0.25">
      <c r="B801" s="2">
        <v>572</v>
      </c>
      <c r="C801" s="2" t="str">
        <f>"18-15/NOS-80/11"</f>
        <v>18-15/NOS-80/11</v>
      </c>
      <c r="D801" s="2" t="s">
        <v>16</v>
      </c>
      <c r="E801" s="2" t="s">
        <v>690</v>
      </c>
      <c r="F801" s="2" t="s">
        <v>1204</v>
      </c>
      <c r="G801" s="2" t="str">
        <f>"18-15/NOS-80/11"</f>
        <v>18-15/NOS-80/11</v>
      </c>
      <c r="H801" s="2" t="str">
        <f t="shared" si="15"/>
        <v>Ugovor na temelju okvirnog sporazuma</v>
      </c>
      <c r="I801" s="2" t="s">
        <v>19</v>
      </c>
      <c r="J801" s="3" t="str">
        <f>"299.159,80"</f>
        <v>299.159,80</v>
      </c>
      <c r="K801" s="2" t="s">
        <v>1205</v>
      </c>
      <c r="L801" s="2" t="s">
        <v>1206</v>
      </c>
      <c r="M801" s="2" t="s">
        <v>886</v>
      </c>
      <c r="N801" s="2" t="s">
        <v>23</v>
      </c>
      <c r="O801" s="3" t="str">
        <f>"0,00"</f>
        <v>0,00</v>
      </c>
      <c r="P801" s="4"/>
    </row>
    <row r="802" spans="2:16" ht="63" x14ac:dyDescent="0.25">
      <c r="B802" s="2">
        <v>573</v>
      </c>
      <c r="C802" s="2" t="str">
        <f>"17-15/NOS-105/11"</f>
        <v>17-15/NOS-105/11</v>
      </c>
      <c r="D802" s="2" t="s">
        <v>16</v>
      </c>
      <c r="E802" s="2" t="s">
        <v>690</v>
      </c>
      <c r="F802" s="2" t="s">
        <v>1207</v>
      </c>
      <c r="G802" s="2" t="str">
        <f>"17-15/NOS-105/11"</f>
        <v>17-15/NOS-105/11</v>
      </c>
      <c r="H802" s="2" t="str">
        <f t="shared" si="15"/>
        <v>Ugovor na temelju okvirnog sporazuma</v>
      </c>
      <c r="I802" s="2" t="s">
        <v>19</v>
      </c>
      <c r="J802" s="3" t="str">
        <f>"668.316,00"</f>
        <v>668.316,00</v>
      </c>
      <c r="K802" s="2" t="s">
        <v>1205</v>
      </c>
      <c r="L802" s="2" t="s">
        <v>1185</v>
      </c>
      <c r="M802" s="2" t="s">
        <v>891</v>
      </c>
      <c r="N802" s="2" t="str">
        <f>"11.01.2016"</f>
        <v>11.01.2016</v>
      </c>
      <c r="O802" s="3" t="str">
        <f>"109.352,40"</f>
        <v>109.352,40</v>
      </c>
      <c r="P802" s="4"/>
    </row>
    <row r="803" spans="2:16" ht="63" x14ac:dyDescent="0.25">
      <c r="B803" s="2">
        <v>574</v>
      </c>
      <c r="C803" s="2" t="str">
        <f>"8-15/NOS-144/13"</f>
        <v>8-15/NOS-144/13</v>
      </c>
      <c r="D803" s="2" t="s">
        <v>16</v>
      </c>
      <c r="E803" s="2" t="s">
        <v>690</v>
      </c>
      <c r="F803" s="2" t="s">
        <v>1208</v>
      </c>
      <c r="G803" s="2" t="str">
        <f>"8-15/NOS-144/13"</f>
        <v>8-15/NOS-144/13</v>
      </c>
      <c r="H803" s="2" t="str">
        <f t="shared" si="15"/>
        <v>Ugovor na temelju okvirnog sporazuma</v>
      </c>
      <c r="I803" s="2" t="s">
        <v>19</v>
      </c>
      <c r="J803" s="3" t="str">
        <f>"106.616,00"</f>
        <v>106.616,00</v>
      </c>
      <c r="K803" s="2" t="s">
        <v>1209</v>
      </c>
      <c r="L803" s="2" t="s">
        <v>1028</v>
      </c>
      <c r="M803" s="2" t="s">
        <v>218</v>
      </c>
      <c r="N803" s="2" t="s">
        <v>23</v>
      </c>
      <c r="O803" s="3" t="str">
        <f>"0,00"</f>
        <v>0,00</v>
      </c>
      <c r="P803" s="4"/>
    </row>
    <row r="804" spans="2:16" ht="63" x14ac:dyDescent="0.25">
      <c r="B804" s="2">
        <v>575</v>
      </c>
      <c r="C804" s="2" t="str">
        <f>"11-15/NOS-40/14"</f>
        <v>11-15/NOS-40/14</v>
      </c>
      <c r="D804" s="2" t="s">
        <v>16</v>
      </c>
      <c r="E804" s="2" t="s">
        <v>690</v>
      </c>
      <c r="F804" s="2" t="s">
        <v>1210</v>
      </c>
      <c r="G804" s="2" t="str">
        <f>"11-15/NOS-40/14"</f>
        <v>11-15/NOS-40/14</v>
      </c>
      <c r="H804" s="2" t="str">
        <f t="shared" si="15"/>
        <v>Ugovor na temelju okvirnog sporazuma</v>
      </c>
      <c r="I804" s="2" t="s">
        <v>19</v>
      </c>
      <c r="J804" s="3" t="str">
        <f>"3.114.856,73"</f>
        <v>3.114.856,73</v>
      </c>
      <c r="K804" s="2" t="s">
        <v>1205</v>
      </c>
      <c r="L804" s="2" t="s">
        <v>1211</v>
      </c>
      <c r="M804" s="2" t="s">
        <v>805</v>
      </c>
      <c r="N804" s="2" t="str">
        <f>"30.12.2015"</f>
        <v>30.12.2015</v>
      </c>
      <c r="O804" s="3" t="str">
        <f>"1.826.777,68"</f>
        <v>1.826.777,68</v>
      </c>
      <c r="P804" s="4"/>
    </row>
    <row r="805" spans="2:16" ht="63" x14ac:dyDescent="0.25">
      <c r="B805" s="2">
        <v>576</v>
      </c>
      <c r="C805" s="2" t="str">
        <f>"208-15/NOS-220/13"</f>
        <v>208-15/NOS-220/13</v>
      </c>
      <c r="D805" s="2" t="s">
        <v>16</v>
      </c>
      <c r="E805" s="2" t="s">
        <v>690</v>
      </c>
      <c r="F805" s="2" t="s">
        <v>1212</v>
      </c>
      <c r="G805" s="2" t="str">
        <f>"208-15/NOS-220/13"</f>
        <v>208-15/NOS-220/13</v>
      </c>
      <c r="H805" s="2" t="str">
        <f t="shared" si="15"/>
        <v>Ugovor na temelju okvirnog sporazuma</v>
      </c>
      <c r="I805" s="2" t="s">
        <v>19</v>
      </c>
      <c r="J805" s="3" t="str">
        <f>"372.888,00"</f>
        <v>372.888,00</v>
      </c>
      <c r="K805" s="2" t="s">
        <v>1213</v>
      </c>
      <c r="L805" s="2" t="s">
        <v>1028</v>
      </c>
      <c r="M805" s="2" t="s">
        <v>711</v>
      </c>
      <c r="N805" s="2" t="str">
        <f>"08.01.2016"</f>
        <v>08.01.2016</v>
      </c>
      <c r="O805" s="3" t="str">
        <f>"98.719,00"</f>
        <v>98.719,00</v>
      </c>
      <c r="P805" s="4"/>
    </row>
    <row r="806" spans="2:16" ht="126" x14ac:dyDescent="0.25">
      <c r="B806" s="2">
        <v>577</v>
      </c>
      <c r="C806" s="2" t="str">
        <f>"3-15/NOS-176-B/13"</f>
        <v>3-15/NOS-176-B/13</v>
      </c>
      <c r="D806" s="2" t="s">
        <v>16</v>
      </c>
      <c r="E806" s="2" t="s">
        <v>690</v>
      </c>
      <c r="F806" s="2" t="s">
        <v>1214</v>
      </c>
      <c r="G806" s="2" t="str">
        <f>"3-15/NOS-176-B/13"</f>
        <v>3-15/NOS-176-B/13</v>
      </c>
      <c r="H806" s="2" t="str">
        <f t="shared" si="15"/>
        <v>Ugovor na temelju okvirnog sporazuma</v>
      </c>
      <c r="I806" s="2" t="s">
        <v>19</v>
      </c>
      <c r="J806" s="3" t="str">
        <f>"123.525,00"</f>
        <v>123.525,00</v>
      </c>
      <c r="K806" s="2" t="s">
        <v>1213</v>
      </c>
      <c r="L806" s="2" t="s">
        <v>916</v>
      </c>
      <c r="M806" s="2" t="s">
        <v>1215</v>
      </c>
      <c r="N806" s="2" t="s">
        <v>23</v>
      </c>
      <c r="O806" s="3" t="str">
        <f>"0,00"</f>
        <v>0,00</v>
      </c>
      <c r="P806" s="4"/>
    </row>
    <row r="807" spans="2:16" ht="63" x14ac:dyDescent="0.25">
      <c r="B807" s="2">
        <v>578</v>
      </c>
      <c r="C807" s="2" t="str">
        <f>"6-15/NOS-12-A/14"</f>
        <v>6-15/NOS-12-A/14</v>
      </c>
      <c r="D807" s="2" t="s">
        <v>16</v>
      </c>
      <c r="E807" s="2" t="s">
        <v>690</v>
      </c>
      <c r="F807" s="2" t="s">
        <v>1216</v>
      </c>
      <c r="G807" s="2" t="str">
        <f>"6-15/NOS-12-A/14"</f>
        <v>6-15/NOS-12-A/14</v>
      </c>
      <c r="H807" s="2" t="str">
        <f t="shared" si="15"/>
        <v>Ugovor na temelju okvirnog sporazuma</v>
      </c>
      <c r="I807" s="2" t="s">
        <v>19</v>
      </c>
      <c r="J807" s="3" t="str">
        <f>"1.626.000,00"</f>
        <v>1.626.000,00</v>
      </c>
      <c r="K807" s="2" t="s">
        <v>1217</v>
      </c>
      <c r="L807" s="2" t="s">
        <v>1185</v>
      </c>
      <c r="M807" s="2" t="s">
        <v>518</v>
      </c>
      <c r="N807" s="2" t="s">
        <v>23</v>
      </c>
      <c r="O807" s="3" t="str">
        <f>"0,00"</f>
        <v>0,00</v>
      </c>
      <c r="P807" s="4"/>
    </row>
    <row r="808" spans="2:16" ht="63" x14ac:dyDescent="0.25">
      <c r="B808" s="2">
        <v>579</v>
      </c>
      <c r="C808" s="2" t="str">
        <f>"9-15/NOS-62/15"</f>
        <v>9-15/NOS-62/15</v>
      </c>
      <c r="D808" s="2" t="s">
        <v>16</v>
      </c>
      <c r="E808" s="2" t="s">
        <v>690</v>
      </c>
      <c r="F808" s="2" t="s">
        <v>1218</v>
      </c>
      <c r="G808" s="2" t="str">
        <f>"9-15/NOS-62/15"</f>
        <v>9-15/NOS-62/15</v>
      </c>
      <c r="H808" s="2" t="str">
        <f t="shared" si="15"/>
        <v>Ugovor na temelju okvirnog sporazuma</v>
      </c>
      <c r="I808" s="2" t="s">
        <v>19</v>
      </c>
      <c r="J808" s="3" t="str">
        <f>"396.000,00"</f>
        <v>396.000,00</v>
      </c>
      <c r="K808" s="2" t="s">
        <v>1217</v>
      </c>
      <c r="L808" s="2" t="s">
        <v>934</v>
      </c>
      <c r="M808" s="2" t="s">
        <v>213</v>
      </c>
      <c r="N808" s="2" t="str">
        <f>"30.12.2015"</f>
        <v>30.12.2015</v>
      </c>
      <c r="O808" s="3" t="str">
        <f>"110.758,10"</f>
        <v>110.758,10</v>
      </c>
      <c r="P808" s="4"/>
    </row>
    <row r="809" spans="2:16" ht="78.75" x14ac:dyDescent="0.25">
      <c r="B809" s="2">
        <v>580</v>
      </c>
      <c r="C809" s="2" t="str">
        <f>"1-15/NOS-42/15"</f>
        <v>1-15/NOS-42/15</v>
      </c>
      <c r="D809" s="2" t="s">
        <v>16</v>
      </c>
      <c r="E809" s="2" t="s">
        <v>690</v>
      </c>
      <c r="F809" s="2" t="s">
        <v>1219</v>
      </c>
      <c r="G809" s="2" t="str">
        <f>"1-15/NOS-42/15"</f>
        <v>1-15/NOS-42/15</v>
      </c>
      <c r="H809" s="2" t="str">
        <f t="shared" si="15"/>
        <v>Ugovor na temelju okvirnog sporazuma</v>
      </c>
      <c r="I809" s="2" t="s">
        <v>19</v>
      </c>
      <c r="J809" s="3" t="str">
        <f>"199.855,00"</f>
        <v>199.855,00</v>
      </c>
      <c r="K809" s="2" t="s">
        <v>1213</v>
      </c>
      <c r="L809" s="2" t="s">
        <v>1220</v>
      </c>
      <c r="M809" s="2" t="s">
        <v>313</v>
      </c>
      <c r="N809" s="2" t="s">
        <v>23</v>
      </c>
      <c r="O809" s="3" t="str">
        <f>"0,00"</f>
        <v>0,00</v>
      </c>
      <c r="P809" s="4"/>
    </row>
    <row r="810" spans="2:16" ht="110.25" x14ac:dyDescent="0.25">
      <c r="B810" s="2">
        <v>581</v>
      </c>
      <c r="C810" s="2" t="str">
        <f>"2-15/NOS-109/15"</f>
        <v>2-15/NOS-109/15</v>
      </c>
      <c r="D810" s="2" t="s">
        <v>16</v>
      </c>
      <c r="E810" s="2" t="s">
        <v>690</v>
      </c>
      <c r="F810" s="2" t="s">
        <v>1221</v>
      </c>
      <c r="G810" s="2" t="str">
        <f>"2-15/NOS-109/15"</f>
        <v>2-15/NOS-109/15</v>
      </c>
      <c r="H810" s="2" t="str">
        <f t="shared" si="15"/>
        <v>Ugovor na temelju okvirnog sporazuma</v>
      </c>
      <c r="I810" s="2" t="s">
        <v>19</v>
      </c>
      <c r="J810" s="3" t="str">
        <f>"403.339,00"</f>
        <v>403.339,00</v>
      </c>
      <c r="K810" s="2" t="s">
        <v>1217</v>
      </c>
      <c r="L810" s="2" t="s">
        <v>1220</v>
      </c>
      <c r="M810" s="2" t="s">
        <v>486</v>
      </c>
      <c r="N810" s="2" t="s">
        <v>23</v>
      </c>
      <c r="O810" s="3" t="str">
        <f>"0,00"</f>
        <v>0,00</v>
      </c>
      <c r="P810" s="4"/>
    </row>
    <row r="811" spans="2:16" ht="63" x14ac:dyDescent="0.25">
      <c r="B811" s="2">
        <v>582</v>
      </c>
      <c r="C811" s="2" t="str">
        <f>"17-15/NOS-80/11"</f>
        <v>17-15/NOS-80/11</v>
      </c>
      <c r="D811" s="2" t="s">
        <v>85</v>
      </c>
      <c r="E811" s="2" t="s">
        <v>690</v>
      </c>
      <c r="F811" s="2" t="s">
        <v>1222</v>
      </c>
      <c r="G811" s="2" t="str">
        <f>"17-15/NOS-80/11"</f>
        <v>17-15/NOS-80/11</v>
      </c>
      <c r="H811" s="2" t="str">
        <f t="shared" si="15"/>
        <v>Ugovor na temelju okvirnog sporazuma</v>
      </c>
      <c r="I811" s="2" t="s">
        <v>19</v>
      </c>
      <c r="J811" s="3" t="str">
        <f>"127.753,60"</f>
        <v>127.753,60</v>
      </c>
      <c r="K811" s="2" t="s">
        <v>1217</v>
      </c>
      <c r="L811" s="2" t="s">
        <v>1206</v>
      </c>
      <c r="M811" s="2" t="s">
        <v>886</v>
      </c>
      <c r="N811" s="2" t="s">
        <v>23</v>
      </c>
      <c r="O811" s="3" t="str">
        <f>"0,00"</f>
        <v>0,00</v>
      </c>
      <c r="P811" s="4"/>
    </row>
    <row r="812" spans="2:16" ht="63" x14ac:dyDescent="0.25">
      <c r="B812" s="2">
        <v>583</v>
      </c>
      <c r="C812" s="2" t="str">
        <f>"5-15/NOS-69-ZGH/14"</f>
        <v>5-15/NOS-69-ZGH/14</v>
      </c>
      <c r="D812" s="2" t="s">
        <v>707</v>
      </c>
      <c r="E812" s="2" t="s">
        <v>690</v>
      </c>
      <c r="F812" s="2" t="s">
        <v>1223</v>
      </c>
      <c r="G812" s="2" t="str">
        <f>"5-15/NOS-69-ZGH/14"</f>
        <v>5-15/NOS-69-ZGH/14</v>
      </c>
      <c r="H812" s="2" t="str">
        <f t="shared" si="15"/>
        <v>Ugovor na temelju okvirnog sporazuma</v>
      </c>
      <c r="I812" s="2" t="s">
        <v>19</v>
      </c>
      <c r="J812" s="3" t="str">
        <f>"28.919,83"</f>
        <v>28.919,83</v>
      </c>
      <c r="K812" s="2" t="s">
        <v>1217</v>
      </c>
      <c r="L812" s="2" t="s">
        <v>1193</v>
      </c>
      <c r="M812" s="2" t="s">
        <v>1224</v>
      </c>
      <c r="N812" s="2" t="str">
        <f>"11.01.2016"</f>
        <v>11.01.2016</v>
      </c>
      <c r="O812" s="3" t="str">
        <f>"19,76"</f>
        <v>19,76</v>
      </c>
      <c r="P812" s="4"/>
    </row>
    <row r="813" spans="2:16" ht="63" x14ac:dyDescent="0.25">
      <c r="B813" s="2">
        <v>584</v>
      </c>
      <c r="C813" s="2" t="str">
        <f>"3-15/NOS-69-ZGH/14"</f>
        <v>3-15/NOS-69-ZGH/14</v>
      </c>
      <c r="D813" s="2" t="s">
        <v>362</v>
      </c>
      <c r="E813" s="2" t="s">
        <v>690</v>
      </c>
      <c r="F813" s="2" t="s">
        <v>1225</v>
      </c>
      <c r="G813" s="2" t="str">
        <f>"3-15/NOS-69-ZGH/14"</f>
        <v>3-15/NOS-69-ZGH/14</v>
      </c>
      <c r="H813" s="2" t="str">
        <f t="shared" si="15"/>
        <v>Ugovor na temelju okvirnog sporazuma</v>
      </c>
      <c r="I813" s="2" t="s">
        <v>19</v>
      </c>
      <c r="J813" s="3" t="str">
        <f>"690.966,67"</f>
        <v>690.966,67</v>
      </c>
      <c r="K813" s="2" t="s">
        <v>1217</v>
      </c>
      <c r="L813" s="2" t="s">
        <v>1193</v>
      </c>
      <c r="M813" s="2" t="s">
        <v>1224</v>
      </c>
      <c r="N813" s="2" t="s">
        <v>23</v>
      </c>
      <c r="O813" s="3" t="str">
        <f t="shared" ref="O813:O818" si="16">"0,00"</f>
        <v>0,00</v>
      </c>
      <c r="P813" s="4"/>
    </row>
    <row r="814" spans="2:16" ht="110.25" x14ac:dyDescent="0.25">
      <c r="B814" s="2">
        <v>585</v>
      </c>
      <c r="C814" s="2" t="str">
        <f>"4-15/NOS-51/14"</f>
        <v>4-15/NOS-51/14</v>
      </c>
      <c r="D814" s="2" t="s">
        <v>16</v>
      </c>
      <c r="E814" s="2" t="s">
        <v>690</v>
      </c>
      <c r="F814" s="2" t="s">
        <v>1226</v>
      </c>
      <c r="G814" s="2" t="str">
        <f>"4-15/NOS-51/14"</f>
        <v>4-15/NOS-51/14</v>
      </c>
      <c r="H814" s="2" t="str">
        <f t="shared" si="15"/>
        <v>Ugovor na temelju okvirnog sporazuma</v>
      </c>
      <c r="I814" s="2" t="s">
        <v>19</v>
      </c>
      <c r="J814" s="3" t="str">
        <f>"2.557.847,60"</f>
        <v>2.557.847,60</v>
      </c>
      <c r="K814" s="2" t="s">
        <v>398</v>
      </c>
      <c r="L814" s="2" t="s">
        <v>1028</v>
      </c>
      <c r="M814" s="2" t="s">
        <v>458</v>
      </c>
      <c r="N814" s="2" t="s">
        <v>23</v>
      </c>
      <c r="O814" s="3" t="str">
        <f t="shared" si="16"/>
        <v>0,00</v>
      </c>
      <c r="P814" s="4"/>
    </row>
    <row r="815" spans="2:16" ht="63" x14ac:dyDescent="0.25">
      <c r="B815" s="2">
        <v>586</v>
      </c>
      <c r="C815" s="2" t="str">
        <f>"1-15/NOS-119/13"</f>
        <v>1-15/NOS-119/13</v>
      </c>
      <c r="D815" s="2" t="s">
        <v>16</v>
      </c>
      <c r="E815" s="2" t="s">
        <v>690</v>
      </c>
      <c r="F815" s="2" t="s">
        <v>1227</v>
      </c>
      <c r="G815" s="2" t="str">
        <f>"1-15/NOS-119/13"</f>
        <v>1-15/NOS-119/13</v>
      </c>
      <c r="H815" s="2" t="str">
        <f t="shared" si="15"/>
        <v>Ugovor na temelju okvirnog sporazuma</v>
      </c>
      <c r="I815" s="2" t="s">
        <v>19</v>
      </c>
      <c r="J815" s="3" t="str">
        <f>"688.944,12"</f>
        <v>688.944,12</v>
      </c>
      <c r="K815" s="2" t="s">
        <v>1184</v>
      </c>
      <c r="L815" s="2" t="s">
        <v>1228</v>
      </c>
      <c r="M815" s="2" t="s">
        <v>1229</v>
      </c>
      <c r="N815" s="2" t="s">
        <v>23</v>
      </c>
      <c r="O815" s="3" t="str">
        <f t="shared" si="16"/>
        <v>0,00</v>
      </c>
      <c r="P815" s="4"/>
    </row>
    <row r="816" spans="2:16" ht="78.75" x14ac:dyDescent="0.25">
      <c r="B816" s="2">
        <v>587</v>
      </c>
      <c r="C816" s="2" t="str">
        <f>"5-15/NOS-6/15"</f>
        <v>5-15/NOS-6/15</v>
      </c>
      <c r="D816" s="2" t="s">
        <v>16</v>
      </c>
      <c r="E816" s="2" t="s">
        <v>690</v>
      </c>
      <c r="F816" s="2" t="s">
        <v>1230</v>
      </c>
      <c r="G816" s="2" t="str">
        <f>"5-15/NOS-6/15"</f>
        <v>5-15/NOS-6/15</v>
      </c>
      <c r="H816" s="2" t="str">
        <f t="shared" si="15"/>
        <v>Ugovor na temelju okvirnog sporazuma</v>
      </c>
      <c r="I816" s="2" t="s">
        <v>19</v>
      </c>
      <c r="J816" s="3" t="str">
        <f>"76.200,00"</f>
        <v>76.200,00</v>
      </c>
      <c r="K816" s="2" t="s">
        <v>394</v>
      </c>
      <c r="L816" s="2" t="s">
        <v>408</v>
      </c>
      <c r="M816" s="2" t="s">
        <v>115</v>
      </c>
      <c r="N816" s="2" t="s">
        <v>23</v>
      </c>
      <c r="O816" s="3" t="str">
        <f t="shared" si="16"/>
        <v>0,00</v>
      </c>
      <c r="P816" s="4"/>
    </row>
    <row r="817" spans="2:16" ht="63" x14ac:dyDescent="0.25">
      <c r="B817" s="2">
        <v>588</v>
      </c>
      <c r="C817" s="2" t="str">
        <f>"10-15/NOS-104/14"</f>
        <v>10-15/NOS-104/14</v>
      </c>
      <c r="D817" s="2" t="s">
        <v>16</v>
      </c>
      <c r="E817" s="2" t="s">
        <v>690</v>
      </c>
      <c r="F817" s="2" t="s">
        <v>1231</v>
      </c>
      <c r="G817" s="2" t="str">
        <f>"10-15/NOS-104/14"</f>
        <v>10-15/NOS-104/14</v>
      </c>
      <c r="H817" s="2" t="str">
        <f t="shared" si="15"/>
        <v>Ugovor na temelju okvirnog sporazuma</v>
      </c>
      <c r="I817" s="2" t="s">
        <v>19</v>
      </c>
      <c r="J817" s="3" t="str">
        <f>"1.157.758,00"</f>
        <v>1.157.758,00</v>
      </c>
      <c r="K817" s="2" t="s">
        <v>394</v>
      </c>
      <c r="L817" s="2" t="s">
        <v>1028</v>
      </c>
      <c r="M817" s="2" t="s">
        <v>40</v>
      </c>
      <c r="N817" s="2" t="s">
        <v>23</v>
      </c>
      <c r="O817" s="3" t="str">
        <f t="shared" si="16"/>
        <v>0,00</v>
      </c>
      <c r="P817" s="4"/>
    </row>
    <row r="818" spans="2:16" ht="63" x14ac:dyDescent="0.25">
      <c r="B818" s="2">
        <v>589</v>
      </c>
      <c r="C818" s="2" t="str">
        <f>"3-15/NOS-94/15"</f>
        <v>3-15/NOS-94/15</v>
      </c>
      <c r="D818" s="2" t="s">
        <v>16</v>
      </c>
      <c r="E818" s="2" t="s">
        <v>690</v>
      </c>
      <c r="F818" s="2" t="s">
        <v>1232</v>
      </c>
      <c r="G818" s="2" t="str">
        <f>"3-15/NOS-94/15"</f>
        <v>3-15/NOS-94/15</v>
      </c>
      <c r="H818" s="2" t="str">
        <f t="shared" si="15"/>
        <v>Ugovor na temelju okvirnog sporazuma</v>
      </c>
      <c r="I818" s="2" t="s">
        <v>19</v>
      </c>
      <c r="J818" s="3" t="str">
        <f>"1.469.400,00"</f>
        <v>1.469.400,00</v>
      </c>
      <c r="K818" s="2" t="s">
        <v>405</v>
      </c>
      <c r="L818" s="2" t="s">
        <v>1233</v>
      </c>
      <c r="M818" s="2" t="s">
        <v>98</v>
      </c>
      <c r="N818" s="2" t="s">
        <v>23</v>
      </c>
      <c r="O818" s="3" t="str">
        <f t="shared" si="16"/>
        <v>0,00</v>
      </c>
      <c r="P818" s="4"/>
    </row>
    <row r="819" spans="2:16" ht="94.5" x14ac:dyDescent="0.25">
      <c r="B819" s="2">
        <v>590</v>
      </c>
      <c r="C819" s="2" t="str">
        <f>"2-15/NOS-71/14"</f>
        <v>2-15/NOS-71/14</v>
      </c>
      <c r="D819" s="2" t="s">
        <v>16</v>
      </c>
      <c r="E819" s="2" t="s">
        <v>690</v>
      </c>
      <c r="F819" s="2" t="s">
        <v>1234</v>
      </c>
      <c r="G819" s="2" t="str">
        <f>"2-15/NOS-71/14"</f>
        <v>2-15/NOS-71/14</v>
      </c>
      <c r="H819" s="2" t="str">
        <f t="shared" si="15"/>
        <v>Ugovor na temelju okvirnog sporazuma</v>
      </c>
      <c r="I819" s="2" t="s">
        <v>19</v>
      </c>
      <c r="J819" s="3" t="str">
        <f>"1.380.000,00"</f>
        <v>1.380.000,00</v>
      </c>
      <c r="K819" s="2" t="s">
        <v>390</v>
      </c>
      <c r="L819" s="2" t="s">
        <v>970</v>
      </c>
      <c r="M819" s="2" t="s">
        <v>122</v>
      </c>
      <c r="N819" s="2" t="str">
        <f>"13.01.2016"</f>
        <v>13.01.2016</v>
      </c>
      <c r="O819" s="3" t="str">
        <f>"328.095,00"</f>
        <v>328.095,00</v>
      </c>
      <c r="P819" s="4"/>
    </row>
    <row r="820" spans="2:16" ht="63" x14ac:dyDescent="0.25">
      <c r="B820" s="2">
        <v>591</v>
      </c>
      <c r="C820" s="2" t="str">
        <f>"1-15/NOS-129/15"</f>
        <v>1-15/NOS-129/15</v>
      </c>
      <c r="D820" s="2" t="s">
        <v>16</v>
      </c>
      <c r="E820" s="2" t="s">
        <v>690</v>
      </c>
      <c r="F820" s="2" t="s">
        <v>1235</v>
      </c>
      <c r="G820" s="2" t="str">
        <f>"1-15/NOS-129/15"</f>
        <v>1-15/NOS-129/15</v>
      </c>
      <c r="H820" s="2" t="str">
        <f t="shared" si="15"/>
        <v>Ugovor na temelju okvirnog sporazuma</v>
      </c>
      <c r="I820" s="2" t="s">
        <v>19</v>
      </c>
      <c r="J820" s="3" t="str">
        <f>"1.150.000,00"</f>
        <v>1.150.000,00</v>
      </c>
      <c r="K820" s="2" t="s">
        <v>390</v>
      </c>
      <c r="L820" s="2" t="s">
        <v>1236</v>
      </c>
      <c r="M820" s="2" t="s">
        <v>275</v>
      </c>
      <c r="N820" s="2" t="s">
        <v>23</v>
      </c>
      <c r="O820" s="3" t="str">
        <f t="shared" ref="O820:O828" si="17">"0,00"</f>
        <v>0,00</v>
      </c>
      <c r="P820" s="4"/>
    </row>
    <row r="821" spans="2:16" ht="78.75" x14ac:dyDescent="0.25">
      <c r="B821" s="2">
        <v>592</v>
      </c>
      <c r="C821" s="2" t="str">
        <f>"2-15/NOS-129/15"</f>
        <v>2-15/NOS-129/15</v>
      </c>
      <c r="D821" s="2" t="s">
        <v>16</v>
      </c>
      <c r="E821" s="2" t="s">
        <v>690</v>
      </c>
      <c r="F821" s="2" t="s">
        <v>1237</v>
      </c>
      <c r="G821" s="2" t="str">
        <f>"2-15/NOS-129/15"</f>
        <v>2-15/NOS-129/15</v>
      </c>
      <c r="H821" s="2" t="str">
        <f t="shared" ref="H821:H828" si="18">"Ugovor na temelju okvirnog sporazuma"</f>
        <v>Ugovor na temelju okvirnog sporazuma</v>
      </c>
      <c r="I821" s="2" t="s">
        <v>19</v>
      </c>
      <c r="J821" s="3" t="str">
        <f>"4.600.000,00"</f>
        <v>4.600.000,00</v>
      </c>
      <c r="K821" s="2" t="s">
        <v>1238</v>
      </c>
      <c r="L821" s="2" t="s">
        <v>1239</v>
      </c>
      <c r="M821" s="2" t="s">
        <v>275</v>
      </c>
      <c r="N821" s="2" t="s">
        <v>23</v>
      </c>
      <c r="O821" s="3" t="str">
        <f t="shared" si="17"/>
        <v>0,00</v>
      </c>
      <c r="P821" s="4"/>
    </row>
    <row r="822" spans="2:16" ht="63" x14ac:dyDescent="0.25">
      <c r="B822" s="2">
        <v>593</v>
      </c>
      <c r="C822" s="2" t="str">
        <f>"1-15/NOS-69-ZGH/14"</f>
        <v>1-15/NOS-69-ZGH/14</v>
      </c>
      <c r="D822" s="2" t="s">
        <v>16</v>
      </c>
      <c r="E822" s="2" t="s">
        <v>690</v>
      </c>
      <c r="F822" s="2" t="s">
        <v>1240</v>
      </c>
      <c r="G822" s="2" t="str">
        <f>"1-15/NOS-69-ZGH/14"</f>
        <v>1-15/NOS-69-ZGH/14</v>
      </c>
      <c r="H822" s="2" t="str">
        <f t="shared" si="18"/>
        <v>Ugovor na temelju okvirnog sporazuma</v>
      </c>
      <c r="I822" s="2" t="s">
        <v>19</v>
      </c>
      <c r="J822" s="3" t="str">
        <f>"42.131.328,60"</f>
        <v>42.131.328,60</v>
      </c>
      <c r="K822" s="2" t="s">
        <v>401</v>
      </c>
      <c r="L822" s="2" t="s">
        <v>1193</v>
      </c>
      <c r="M822" s="2" t="s">
        <v>1224</v>
      </c>
      <c r="N822" s="2" t="s">
        <v>23</v>
      </c>
      <c r="O822" s="3" t="str">
        <f t="shared" si="17"/>
        <v>0,00</v>
      </c>
      <c r="P822" s="4"/>
    </row>
    <row r="823" spans="2:16" ht="126" x14ac:dyDescent="0.25">
      <c r="B823" s="2">
        <v>594</v>
      </c>
      <c r="C823" s="2" t="str">
        <f>"2-15/NOS-34/14"</f>
        <v>2-15/NOS-34/14</v>
      </c>
      <c r="D823" s="2" t="s">
        <v>16</v>
      </c>
      <c r="E823" s="2" t="s">
        <v>690</v>
      </c>
      <c r="F823" s="2" t="s">
        <v>1241</v>
      </c>
      <c r="G823" s="2" t="str">
        <f>"2-15/NOS-34/14"</f>
        <v>2-15/NOS-34/14</v>
      </c>
      <c r="H823" s="2" t="str">
        <f t="shared" si="18"/>
        <v>Ugovor na temelju okvirnog sporazuma</v>
      </c>
      <c r="I823" s="2" t="s">
        <v>19</v>
      </c>
      <c r="J823" s="3" t="str">
        <f>"406.076,00"</f>
        <v>406.076,00</v>
      </c>
      <c r="K823" s="2" t="s">
        <v>1242</v>
      </c>
      <c r="L823" s="2" t="s">
        <v>982</v>
      </c>
      <c r="M823" s="2" t="s">
        <v>581</v>
      </c>
      <c r="N823" s="2" t="s">
        <v>23</v>
      </c>
      <c r="O823" s="3" t="str">
        <f t="shared" si="17"/>
        <v>0,00</v>
      </c>
      <c r="P823" s="4"/>
    </row>
    <row r="824" spans="2:16" ht="110.25" x14ac:dyDescent="0.25">
      <c r="B824" s="2">
        <v>595</v>
      </c>
      <c r="C824" s="2" t="str">
        <f>"4-15/NOS-107/15"</f>
        <v>4-15/NOS-107/15</v>
      </c>
      <c r="D824" s="2" t="s">
        <v>16</v>
      </c>
      <c r="E824" s="2" t="s">
        <v>690</v>
      </c>
      <c r="F824" s="2" t="s">
        <v>1243</v>
      </c>
      <c r="G824" s="2" t="str">
        <f>"4-15/NOS-107/15"</f>
        <v>4-15/NOS-107/15</v>
      </c>
      <c r="H824" s="2" t="str">
        <f t="shared" si="18"/>
        <v>Ugovor na temelju okvirnog sporazuma</v>
      </c>
      <c r="I824" s="2" t="s">
        <v>19</v>
      </c>
      <c r="J824" s="3" t="str">
        <f>"265.984,00"</f>
        <v>265.984,00</v>
      </c>
      <c r="K824" s="2" t="s">
        <v>1244</v>
      </c>
      <c r="L824" s="2" t="s">
        <v>1245</v>
      </c>
      <c r="M824" s="2" t="s">
        <v>497</v>
      </c>
      <c r="N824" s="2" t="s">
        <v>23</v>
      </c>
      <c r="O824" s="3" t="str">
        <f t="shared" si="17"/>
        <v>0,00</v>
      </c>
      <c r="P824" s="4"/>
    </row>
    <row r="825" spans="2:16" ht="63" x14ac:dyDescent="0.25">
      <c r="B825" s="2">
        <v>596</v>
      </c>
      <c r="C825" s="2" t="str">
        <f>"2-15/NOS-69-ZGH/14"</f>
        <v>2-15/NOS-69-ZGH/14</v>
      </c>
      <c r="D825" s="2" t="s">
        <v>85</v>
      </c>
      <c r="E825" s="2" t="s">
        <v>690</v>
      </c>
      <c r="F825" s="2" t="s">
        <v>1246</v>
      </c>
      <c r="G825" s="2" t="str">
        <f>"2-15/NOS-69-ZGH/14"</f>
        <v>2-15/NOS-69-ZGH/14</v>
      </c>
      <c r="H825" s="2" t="str">
        <f t="shared" si="18"/>
        <v>Ugovor na temelju okvirnog sporazuma</v>
      </c>
      <c r="I825" s="2" t="s">
        <v>19</v>
      </c>
      <c r="J825" s="3" t="str">
        <f>"19.599.398,55"</f>
        <v>19.599.398,55</v>
      </c>
      <c r="K825" s="2" t="s">
        <v>1242</v>
      </c>
      <c r="L825" s="2" t="s">
        <v>1193</v>
      </c>
      <c r="M825" s="2" t="s">
        <v>1224</v>
      </c>
      <c r="N825" s="2" t="s">
        <v>23</v>
      </c>
      <c r="O825" s="3" t="str">
        <f t="shared" si="17"/>
        <v>0,00</v>
      </c>
      <c r="P825" s="4"/>
    </row>
    <row r="826" spans="2:16" ht="63" x14ac:dyDescent="0.25">
      <c r="B826" s="2">
        <v>597</v>
      </c>
      <c r="C826" s="2" t="str">
        <f>"2-15/NOS-216-B/13"</f>
        <v>2-15/NOS-216-B/13</v>
      </c>
      <c r="D826" s="2" t="s">
        <v>16</v>
      </c>
      <c r="E826" s="2" t="s">
        <v>690</v>
      </c>
      <c r="F826" s="2" t="s">
        <v>1247</v>
      </c>
      <c r="G826" s="2" t="str">
        <f>"2-15/NOS-216-B/13"</f>
        <v>2-15/NOS-216-B/13</v>
      </c>
      <c r="H826" s="2" t="str">
        <f t="shared" si="18"/>
        <v>Ugovor na temelju okvirnog sporazuma</v>
      </c>
      <c r="I826" s="2" t="s">
        <v>19</v>
      </c>
      <c r="J826" s="3" t="str">
        <f>"7.175.253,00"</f>
        <v>7.175.253,00</v>
      </c>
      <c r="K826" s="2" t="s">
        <v>408</v>
      </c>
      <c r="L826" s="2" t="s">
        <v>1193</v>
      </c>
      <c r="M826" s="2" t="s">
        <v>358</v>
      </c>
      <c r="N826" s="2" t="s">
        <v>23</v>
      </c>
      <c r="O826" s="3" t="str">
        <f t="shared" si="17"/>
        <v>0,00</v>
      </c>
      <c r="P826" s="4"/>
    </row>
    <row r="827" spans="2:16" ht="63" x14ac:dyDescent="0.25">
      <c r="B827" s="2">
        <v>598</v>
      </c>
      <c r="C827" s="2" t="str">
        <f>"208-15/NOS-220/13#1"</f>
        <v>208-15/NOS-220/13#1</v>
      </c>
      <c r="D827" s="2" t="s">
        <v>16</v>
      </c>
      <c r="E827" s="2" t="s">
        <v>690</v>
      </c>
      <c r="F827" s="2" t="s">
        <v>1248</v>
      </c>
      <c r="G827" s="2" t="str">
        <f>"208-15/NOS-220/13#1"</f>
        <v>208-15/NOS-220/13#1</v>
      </c>
      <c r="H827" s="2" t="str">
        <f t="shared" si="18"/>
        <v>Ugovor na temelju okvirnog sporazuma</v>
      </c>
      <c r="I827" s="2" t="s">
        <v>19</v>
      </c>
      <c r="J827" s="3" t="str">
        <f>"29.986,20"</f>
        <v>29.986,20</v>
      </c>
      <c r="K827" s="2" t="s">
        <v>408</v>
      </c>
      <c r="L827" s="2" t="s">
        <v>1028</v>
      </c>
      <c r="M827" s="2" t="s">
        <v>711</v>
      </c>
      <c r="N827" s="2" t="s">
        <v>23</v>
      </c>
      <c r="O827" s="3" t="str">
        <f t="shared" si="17"/>
        <v>0,00</v>
      </c>
      <c r="P827" s="4"/>
    </row>
    <row r="828" spans="2:16" ht="63" x14ac:dyDescent="0.25">
      <c r="B828" s="2">
        <v>599</v>
      </c>
      <c r="C828" s="2" t="str">
        <f>"4-15/NOS-69-ZGH/14"</f>
        <v>4-15/NOS-69-ZGH/14</v>
      </c>
      <c r="D828" s="2" t="s">
        <v>356</v>
      </c>
      <c r="E828" s="2" t="s">
        <v>690</v>
      </c>
      <c r="F828" s="2" t="s">
        <v>1249</v>
      </c>
      <c r="G828" s="2" t="str">
        <f>"4-15/NOS-69-ZGH/14"</f>
        <v>4-15/NOS-69-ZGH/14</v>
      </c>
      <c r="H828" s="2" t="str">
        <f t="shared" si="18"/>
        <v>Ugovor na temelju okvirnog sporazuma</v>
      </c>
      <c r="I828" s="2" t="s">
        <v>19</v>
      </c>
      <c r="J828" s="3" t="str">
        <f>"345.855,10"</f>
        <v>345.855,10</v>
      </c>
      <c r="K828" s="2" t="s">
        <v>394</v>
      </c>
      <c r="L828" s="2" t="s">
        <v>1193</v>
      </c>
      <c r="M828" s="2" t="s">
        <v>1224</v>
      </c>
      <c r="N828" s="2" t="s">
        <v>23</v>
      </c>
      <c r="O828" s="3" t="str">
        <f t="shared" si="17"/>
        <v>0,00</v>
      </c>
      <c r="P828" s="4"/>
    </row>
    <row r="829" spans="2:16" ht="63" x14ac:dyDescent="0.25">
      <c r="B829" s="2">
        <v>600</v>
      </c>
      <c r="C829" s="2" t="str">
        <f>"15-14/NOS-135/13"</f>
        <v>15-14/NOS-135/13</v>
      </c>
      <c r="D829" s="2" t="s">
        <v>85</v>
      </c>
      <c r="E829" s="2" t="s">
        <v>1250</v>
      </c>
      <c r="F829" s="2" t="s">
        <v>1251</v>
      </c>
      <c r="G829" s="2" t="str">
        <f>"15-14/NOS-135/13"</f>
        <v>15-14/NOS-135/13</v>
      </c>
      <c r="H829" s="2" t="str">
        <f t="shared" ref="H829:H867" si="19">"Ugovor - narudžbenica (periodični predmet)"</f>
        <v>Ugovor - narudžbenica (periodični predmet)</v>
      </c>
      <c r="I829" s="2" t="s">
        <v>19</v>
      </c>
      <c r="J829" s="3" t="str">
        <f>"536,30"</f>
        <v>536,30</v>
      </c>
      <c r="K829" s="2" t="s">
        <v>1252</v>
      </c>
      <c r="L829" s="2" t="s">
        <v>1253</v>
      </c>
      <c r="M829" s="2" t="s">
        <v>175</v>
      </c>
      <c r="N829" s="2" t="str">
        <f>"03.03.2015"</f>
        <v>03.03.2015</v>
      </c>
      <c r="O829" s="3" t="str">
        <f>"536,30"</f>
        <v>536,30</v>
      </c>
      <c r="P829" s="4"/>
    </row>
    <row r="830" spans="2:16" ht="63" x14ac:dyDescent="0.25">
      <c r="B830" s="2">
        <v>601</v>
      </c>
      <c r="C830" s="2" t="str">
        <f>"12-14/NOS-116/12"</f>
        <v>12-14/NOS-116/12</v>
      </c>
      <c r="D830" s="2" t="s">
        <v>16</v>
      </c>
      <c r="E830" s="2" t="s">
        <v>1250</v>
      </c>
      <c r="F830" s="2" t="s">
        <v>1254</v>
      </c>
      <c r="G830" s="2" t="str">
        <f>"12-14/NOS-116/12"</f>
        <v>12-14/NOS-116/12</v>
      </c>
      <c r="H830" s="2" t="str">
        <f t="shared" si="19"/>
        <v>Ugovor - narudžbenica (periodični predmet)</v>
      </c>
      <c r="I830" s="2" t="s">
        <v>19</v>
      </c>
      <c r="J830" s="3" t="str">
        <f>"1.078,00"</f>
        <v>1.078,00</v>
      </c>
      <c r="K830" s="2" t="s">
        <v>1252</v>
      </c>
      <c r="L830" s="2" t="s">
        <v>1253</v>
      </c>
      <c r="M830" s="2" t="s">
        <v>142</v>
      </c>
      <c r="N830" s="2" t="str">
        <f>"16.01.2015"</f>
        <v>16.01.2015</v>
      </c>
      <c r="O830" s="3" t="str">
        <f>"302,40"</f>
        <v>302,40</v>
      </c>
      <c r="P830" s="4"/>
    </row>
    <row r="831" spans="2:16" ht="63" x14ac:dyDescent="0.25">
      <c r="B831" s="2">
        <v>602</v>
      </c>
      <c r="C831" s="2" t="str">
        <f>"26-14/NOS-87/13"</f>
        <v>26-14/NOS-87/13</v>
      </c>
      <c r="D831" s="2" t="s">
        <v>28</v>
      </c>
      <c r="E831" s="2" t="s">
        <v>1250</v>
      </c>
      <c r="F831" s="2" t="s">
        <v>463</v>
      </c>
      <c r="G831" s="2" t="str">
        <f>"26-14/NOS-87/13"</f>
        <v>26-14/NOS-87/13</v>
      </c>
      <c r="H831" s="2" t="str">
        <f t="shared" si="19"/>
        <v>Ugovor - narudžbenica (periodični predmet)</v>
      </c>
      <c r="I831" s="2" t="s">
        <v>19</v>
      </c>
      <c r="J831" s="3" t="str">
        <f>"973,70"</f>
        <v>973,70</v>
      </c>
      <c r="K831" s="2" t="s">
        <v>1252</v>
      </c>
      <c r="L831" s="2" t="s">
        <v>1253</v>
      </c>
      <c r="M831" s="2" t="s">
        <v>466</v>
      </c>
      <c r="N831" s="2" t="str">
        <f>"28.01.2015"</f>
        <v>28.01.2015</v>
      </c>
      <c r="O831" s="3" t="str">
        <f>"869,70"</f>
        <v>869,70</v>
      </c>
      <c r="P831" s="4"/>
    </row>
    <row r="832" spans="2:16" ht="63" x14ac:dyDescent="0.25">
      <c r="B832" s="2">
        <v>603</v>
      </c>
      <c r="C832" s="2" t="str">
        <f>"23-14/NOS-38-A/13"</f>
        <v>23-14/NOS-38-A/13</v>
      </c>
      <c r="D832" s="2" t="s">
        <v>85</v>
      </c>
      <c r="E832" s="2" t="s">
        <v>1250</v>
      </c>
      <c r="F832" s="2" t="s">
        <v>1255</v>
      </c>
      <c r="G832" s="2" t="str">
        <f>"23-14/NOS-38-A/13"</f>
        <v>23-14/NOS-38-A/13</v>
      </c>
      <c r="H832" s="2" t="str">
        <f t="shared" si="19"/>
        <v>Ugovor - narudžbenica (periodični predmet)</v>
      </c>
      <c r="I832" s="2" t="s">
        <v>19</v>
      </c>
      <c r="J832" s="3" t="str">
        <f>"744,92"</f>
        <v>744,92</v>
      </c>
      <c r="K832" s="2" t="s">
        <v>1252</v>
      </c>
      <c r="L832" s="2" t="s">
        <v>1253</v>
      </c>
      <c r="M832" s="2" t="s">
        <v>269</v>
      </c>
      <c r="N832" s="2" t="str">
        <f>"27.01.2015"</f>
        <v>27.01.2015</v>
      </c>
      <c r="O832" s="3" t="str">
        <f>"744,92"</f>
        <v>744,92</v>
      </c>
      <c r="P832" s="4"/>
    </row>
    <row r="833" spans="2:16" ht="63" x14ac:dyDescent="0.25">
      <c r="B833" s="2">
        <v>604</v>
      </c>
      <c r="C833" s="2" t="str">
        <f>"16-14/NOS-16/13"</f>
        <v>16-14/NOS-16/13</v>
      </c>
      <c r="D833" s="2" t="s">
        <v>16</v>
      </c>
      <c r="E833" s="2" t="s">
        <v>1250</v>
      </c>
      <c r="F833" s="2" t="s">
        <v>1256</v>
      </c>
      <c r="G833" s="2" t="str">
        <f>"16-14/NOS-16/13"</f>
        <v>16-14/NOS-16/13</v>
      </c>
      <c r="H833" s="2" t="str">
        <f t="shared" si="19"/>
        <v>Ugovor - narudžbenica (periodični predmet)</v>
      </c>
      <c r="I833" s="2" t="s">
        <v>19</v>
      </c>
      <c r="J833" s="3" t="str">
        <f>"271,25"</f>
        <v>271,25</v>
      </c>
      <c r="K833" s="2" t="s">
        <v>1252</v>
      </c>
      <c r="L833" s="2" t="s">
        <v>706</v>
      </c>
      <c r="M833" s="2" t="s">
        <v>44</v>
      </c>
      <c r="N833" s="2" t="str">
        <f>"16.02.2015"</f>
        <v>16.02.2015</v>
      </c>
      <c r="O833" s="3" t="str">
        <f>"271,25"</f>
        <v>271,25</v>
      </c>
      <c r="P833" s="4"/>
    </row>
    <row r="834" spans="2:16" ht="63" x14ac:dyDescent="0.25">
      <c r="B834" s="2">
        <v>605</v>
      </c>
      <c r="C834" s="2" t="str">
        <f>"27-14/NOS-158/13"</f>
        <v>27-14/NOS-158/13</v>
      </c>
      <c r="D834" s="2" t="s">
        <v>16</v>
      </c>
      <c r="E834" s="2" t="s">
        <v>1250</v>
      </c>
      <c r="F834" s="2" t="s">
        <v>1257</v>
      </c>
      <c r="G834" s="2" t="str">
        <f>"27-14/NOS-158/13"</f>
        <v>27-14/NOS-158/13</v>
      </c>
      <c r="H834" s="2" t="str">
        <f t="shared" si="19"/>
        <v>Ugovor - narudžbenica (periodični predmet)</v>
      </c>
      <c r="I834" s="2" t="s">
        <v>19</v>
      </c>
      <c r="J834" s="3" t="str">
        <f>"860,00"</f>
        <v>860,00</v>
      </c>
      <c r="K834" s="2" t="s">
        <v>1252</v>
      </c>
      <c r="L834" s="2" t="s">
        <v>1253</v>
      </c>
      <c r="M834" s="2" t="s">
        <v>416</v>
      </c>
      <c r="N834" s="2" t="str">
        <f>"17.02.2015"</f>
        <v>17.02.2015</v>
      </c>
      <c r="O834" s="3" t="str">
        <f>"860,00"</f>
        <v>860,00</v>
      </c>
      <c r="P834" s="4"/>
    </row>
    <row r="835" spans="2:16" ht="63" x14ac:dyDescent="0.25">
      <c r="B835" s="2">
        <v>606</v>
      </c>
      <c r="C835" s="2" t="str">
        <f>"14-14/NOS-99/13"</f>
        <v>14-14/NOS-99/13</v>
      </c>
      <c r="D835" s="2" t="s">
        <v>16</v>
      </c>
      <c r="E835" s="2" t="s">
        <v>1250</v>
      </c>
      <c r="F835" s="2" t="s">
        <v>1258</v>
      </c>
      <c r="G835" s="2" t="str">
        <f>"14-14/NOS-99/13"</f>
        <v>14-14/NOS-99/13</v>
      </c>
      <c r="H835" s="2" t="str">
        <f t="shared" si="19"/>
        <v>Ugovor - narudžbenica (periodični predmet)</v>
      </c>
      <c r="I835" s="2" t="s">
        <v>19</v>
      </c>
      <c r="J835" s="3" t="str">
        <f>"200,00"</f>
        <v>200,00</v>
      </c>
      <c r="K835" s="2" t="s">
        <v>1252</v>
      </c>
      <c r="L835" s="2" t="s">
        <v>1253</v>
      </c>
      <c r="M835" s="2" t="s">
        <v>508</v>
      </c>
      <c r="N835" s="2" t="str">
        <f>"28.01.2015"</f>
        <v>28.01.2015</v>
      </c>
      <c r="O835" s="3" t="str">
        <f>"200,00"</f>
        <v>200,00</v>
      </c>
      <c r="P835" s="4"/>
    </row>
    <row r="836" spans="2:16" ht="63" x14ac:dyDescent="0.25">
      <c r="B836" s="2">
        <v>607</v>
      </c>
      <c r="C836" s="2" t="str">
        <f>"14-14/NOS-69/13"</f>
        <v>14-14/NOS-69/13</v>
      </c>
      <c r="D836" s="2" t="s">
        <v>85</v>
      </c>
      <c r="E836" s="2" t="s">
        <v>1250</v>
      </c>
      <c r="F836" s="2" t="s">
        <v>1259</v>
      </c>
      <c r="G836" s="2" t="str">
        <f>"14-14/NOS-69/13"</f>
        <v>14-14/NOS-69/13</v>
      </c>
      <c r="H836" s="2" t="str">
        <f t="shared" si="19"/>
        <v>Ugovor - narudžbenica (periodični predmet)</v>
      </c>
      <c r="I836" s="2" t="s">
        <v>19</v>
      </c>
      <c r="J836" s="3" t="str">
        <f>"140,20"</f>
        <v>140,20</v>
      </c>
      <c r="K836" s="2" t="s">
        <v>1252</v>
      </c>
      <c r="L836" s="2" t="s">
        <v>1253</v>
      </c>
      <c r="M836" s="2" t="s">
        <v>175</v>
      </c>
      <c r="N836" s="2" t="str">
        <f>"03.03.2015"</f>
        <v>03.03.2015</v>
      </c>
      <c r="O836" s="3" t="str">
        <f>"140,20"</f>
        <v>140,20</v>
      </c>
      <c r="P836" s="4"/>
    </row>
    <row r="837" spans="2:16" ht="63" x14ac:dyDescent="0.25">
      <c r="B837" s="2">
        <v>608</v>
      </c>
      <c r="C837" s="2" t="str">
        <f>"19-14/NOS-21/13"</f>
        <v>19-14/NOS-21/13</v>
      </c>
      <c r="D837" s="2" t="s">
        <v>16</v>
      </c>
      <c r="E837" s="2" t="s">
        <v>1250</v>
      </c>
      <c r="F837" s="2" t="s">
        <v>1260</v>
      </c>
      <c r="G837" s="2" t="str">
        <f>"19-14/NOS-21/13"</f>
        <v>19-14/NOS-21/13</v>
      </c>
      <c r="H837" s="2" t="str">
        <f t="shared" si="19"/>
        <v>Ugovor - narudžbenica (periodični predmet)</v>
      </c>
      <c r="I837" s="2" t="s">
        <v>19</v>
      </c>
      <c r="J837" s="3" t="str">
        <f>"190,40"</f>
        <v>190,40</v>
      </c>
      <c r="K837" s="2" t="s">
        <v>1252</v>
      </c>
      <c r="L837" s="2" t="s">
        <v>706</v>
      </c>
      <c r="M837" s="2" t="s">
        <v>1261</v>
      </c>
      <c r="N837" s="2" t="str">
        <f>"15.01.2015"</f>
        <v>15.01.2015</v>
      </c>
      <c r="O837" s="3" t="str">
        <f>"190,40"</f>
        <v>190,40</v>
      </c>
      <c r="P837" s="4"/>
    </row>
    <row r="838" spans="2:16" ht="63" x14ac:dyDescent="0.25">
      <c r="B838" s="2">
        <v>609</v>
      </c>
      <c r="C838" s="2" t="str">
        <f>"18-14/NOS-92/12"</f>
        <v>18-14/NOS-92/12</v>
      </c>
      <c r="D838" s="2" t="s">
        <v>16</v>
      </c>
      <c r="E838" s="2" t="s">
        <v>1250</v>
      </c>
      <c r="F838" s="2" t="s">
        <v>1262</v>
      </c>
      <c r="G838" s="2" t="str">
        <f>"18-14/NOS-92/12"</f>
        <v>18-14/NOS-92/12</v>
      </c>
      <c r="H838" s="2" t="str">
        <f t="shared" si="19"/>
        <v>Ugovor - narudžbenica (periodični predmet)</v>
      </c>
      <c r="I838" s="2" t="s">
        <v>19</v>
      </c>
      <c r="J838" s="3" t="str">
        <f>"45,20"</f>
        <v>45,20</v>
      </c>
      <c r="K838" s="2" t="s">
        <v>1252</v>
      </c>
      <c r="L838" s="2" t="s">
        <v>1253</v>
      </c>
      <c r="M838" s="2" t="s">
        <v>1263</v>
      </c>
      <c r="N838" s="2" t="str">
        <f>"21.01.2015"</f>
        <v>21.01.2015</v>
      </c>
      <c r="O838" s="3" t="str">
        <f>"45,20"</f>
        <v>45,20</v>
      </c>
      <c r="P838" s="4"/>
    </row>
    <row r="839" spans="2:16" ht="63" x14ac:dyDescent="0.25">
      <c r="B839" s="2">
        <v>610</v>
      </c>
      <c r="C839" s="2" t="str">
        <f>"19-14/NOS-67/13"</f>
        <v>19-14/NOS-67/13</v>
      </c>
      <c r="D839" s="2" t="s">
        <v>16</v>
      </c>
      <c r="E839" s="2" t="s">
        <v>1250</v>
      </c>
      <c r="F839" s="2" t="s">
        <v>255</v>
      </c>
      <c r="G839" s="2" t="str">
        <f>"19-14/NOS-67/13"</f>
        <v>19-14/NOS-67/13</v>
      </c>
      <c r="H839" s="2" t="str">
        <f t="shared" si="19"/>
        <v>Ugovor - narudžbenica (periodični predmet)</v>
      </c>
      <c r="I839" s="2" t="s">
        <v>19</v>
      </c>
      <c r="J839" s="3" t="str">
        <f>"13.820,00"</f>
        <v>13.820,00</v>
      </c>
      <c r="K839" s="2" t="s">
        <v>1264</v>
      </c>
      <c r="L839" s="2" t="s">
        <v>1253</v>
      </c>
      <c r="M839" s="2" t="s">
        <v>184</v>
      </c>
      <c r="N839" s="2" t="str">
        <f>"12.02.2015"</f>
        <v>12.02.2015</v>
      </c>
      <c r="O839" s="3" t="str">
        <f>"13.820,00"</f>
        <v>13.820,00</v>
      </c>
      <c r="P839" s="4"/>
    </row>
    <row r="840" spans="2:16" ht="63" x14ac:dyDescent="0.25">
      <c r="B840" s="2">
        <v>611</v>
      </c>
      <c r="C840" s="2" t="str">
        <f>"16-14/NOS-117/13"</f>
        <v>16-14/NOS-117/13</v>
      </c>
      <c r="D840" s="2" t="s">
        <v>16</v>
      </c>
      <c r="E840" s="2" t="s">
        <v>1250</v>
      </c>
      <c r="F840" s="2" t="s">
        <v>1265</v>
      </c>
      <c r="G840" s="2" t="str">
        <f>"16-14/NOS-117/13"</f>
        <v>16-14/NOS-117/13</v>
      </c>
      <c r="H840" s="2" t="str">
        <f t="shared" si="19"/>
        <v>Ugovor - narudžbenica (periodični predmet)</v>
      </c>
      <c r="I840" s="2" t="s">
        <v>19</v>
      </c>
      <c r="J840" s="3" t="str">
        <f>"2.300,00"</f>
        <v>2.300,00</v>
      </c>
      <c r="K840" s="2" t="s">
        <v>1264</v>
      </c>
      <c r="L840" s="2" t="s">
        <v>1266</v>
      </c>
      <c r="M840" s="2" t="s">
        <v>508</v>
      </c>
      <c r="N840" s="2" t="str">
        <f>"23.01.2015"</f>
        <v>23.01.2015</v>
      </c>
      <c r="O840" s="3" t="str">
        <f>"2.300,00"</f>
        <v>2.300,00</v>
      </c>
      <c r="P840" s="4"/>
    </row>
    <row r="841" spans="2:16" ht="63" x14ac:dyDescent="0.25">
      <c r="B841" s="2">
        <v>612</v>
      </c>
      <c r="C841" s="2" t="str">
        <f>"26-14/NOS-14/13"</f>
        <v>26-14/NOS-14/13</v>
      </c>
      <c r="D841" s="2" t="s">
        <v>28</v>
      </c>
      <c r="E841" s="2" t="s">
        <v>1250</v>
      </c>
      <c r="F841" s="2" t="s">
        <v>1267</v>
      </c>
      <c r="G841" s="2" t="str">
        <f>"26-14/NOS-14/13"</f>
        <v>26-14/NOS-14/13</v>
      </c>
      <c r="H841" s="2" t="str">
        <f t="shared" si="19"/>
        <v>Ugovor - narudžbenica (periodični predmet)</v>
      </c>
      <c r="I841" s="2" t="s">
        <v>19</v>
      </c>
      <c r="J841" s="3" t="str">
        <f>"8.615,00"</f>
        <v>8.615,00</v>
      </c>
      <c r="K841" s="2" t="s">
        <v>1264</v>
      </c>
      <c r="L841" s="2" t="s">
        <v>1253</v>
      </c>
      <c r="M841" s="2" t="s">
        <v>160</v>
      </c>
      <c r="N841" s="2" t="str">
        <f>"05.03.2015"</f>
        <v>05.03.2015</v>
      </c>
      <c r="O841" s="3" t="str">
        <f>"8.615,00"</f>
        <v>8.615,00</v>
      </c>
      <c r="P841" s="4"/>
    </row>
    <row r="842" spans="2:16" ht="63" x14ac:dyDescent="0.25">
      <c r="B842" s="2">
        <v>613</v>
      </c>
      <c r="C842" s="2" t="str">
        <f>"13-14/NOS-101/11"</f>
        <v>13-14/NOS-101/11</v>
      </c>
      <c r="D842" s="2" t="s">
        <v>16</v>
      </c>
      <c r="E842" s="2" t="s">
        <v>1250</v>
      </c>
      <c r="F842" s="2" t="s">
        <v>1268</v>
      </c>
      <c r="G842" s="2" t="str">
        <f>"13-14/NOS-101/11"</f>
        <v>13-14/NOS-101/11</v>
      </c>
      <c r="H842" s="2" t="str">
        <f t="shared" si="19"/>
        <v>Ugovor - narudžbenica (periodični predmet)</v>
      </c>
      <c r="I842" s="2" t="s">
        <v>19</v>
      </c>
      <c r="J842" s="3" t="str">
        <f>"4.636,56"</f>
        <v>4.636,56</v>
      </c>
      <c r="K842" s="2" t="s">
        <v>1264</v>
      </c>
      <c r="L842" s="2" t="s">
        <v>1266</v>
      </c>
      <c r="M842" s="2" t="s">
        <v>454</v>
      </c>
      <c r="N842" s="2" t="str">
        <f>"13.05.2015"</f>
        <v>13.05.2015</v>
      </c>
      <c r="O842" s="3" t="str">
        <f>"4.636,56"</f>
        <v>4.636,56</v>
      </c>
      <c r="P842" s="4"/>
    </row>
    <row r="843" spans="2:16" ht="63" x14ac:dyDescent="0.25">
      <c r="B843" s="2">
        <v>614</v>
      </c>
      <c r="C843" s="2" t="str">
        <f>"30-14/NOS-103/13"</f>
        <v>30-14/NOS-103/13</v>
      </c>
      <c r="D843" s="2" t="s">
        <v>16</v>
      </c>
      <c r="E843" s="2" t="s">
        <v>1250</v>
      </c>
      <c r="F843" s="2" t="s">
        <v>543</v>
      </c>
      <c r="G843" s="2" t="str">
        <f>"30-14/NOS-103/13"</f>
        <v>30-14/NOS-103/13</v>
      </c>
      <c r="H843" s="2" t="str">
        <f t="shared" si="19"/>
        <v>Ugovor - narudžbenica (periodični predmet)</v>
      </c>
      <c r="I843" s="2" t="s">
        <v>19</v>
      </c>
      <c r="J843" s="3" t="str">
        <f>"2.829,00"</f>
        <v>2.829,00</v>
      </c>
      <c r="K843" s="2" t="s">
        <v>1264</v>
      </c>
      <c r="L843" s="2" t="s">
        <v>1266</v>
      </c>
      <c r="M843" s="2" t="s">
        <v>75</v>
      </c>
      <c r="N843" s="2" t="str">
        <f>"20.02.2015"</f>
        <v>20.02.2015</v>
      </c>
      <c r="O843" s="3" t="str">
        <f>"2.829,00"</f>
        <v>2.829,00</v>
      </c>
      <c r="P843" s="4"/>
    </row>
    <row r="844" spans="2:16" ht="63" x14ac:dyDescent="0.25">
      <c r="B844" s="2">
        <v>615</v>
      </c>
      <c r="C844" s="2" t="str">
        <f>"21-14/NOS-29/12"</f>
        <v>21-14/NOS-29/12</v>
      </c>
      <c r="D844" s="2" t="s">
        <v>85</v>
      </c>
      <c r="E844" s="2" t="s">
        <v>1250</v>
      </c>
      <c r="F844" s="2" t="s">
        <v>1269</v>
      </c>
      <c r="G844" s="2" t="str">
        <f>"21-14/NOS-29/12"</f>
        <v>21-14/NOS-29/12</v>
      </c>
      <c r="H844" s="2" t="str">
        <f t="shared" si="19"/>
        <v>Ugovor - narudžbenica (periodični predmet)</v>
      </c>
      <c r="I844" s="2" t="s">
        <v>19</v>
      </c>
      <c r="J844" s="3" t="str">
        <f>"164.296,00"</f>
        <v>164.296,00</v>
      </c>
      <c r="K844" s="2" t="s">
        <v>1264</v>
      </c>
      <c r="L844" s="2" t="s">
        <v>1253</v>
      </c>
      <c r="M844" s="2" t="s">
        <v>1126</v>
      </c>
      <c r="N844" s="2" t="str">
        <f>"26.05.2015"</f>
        <v>26.05.2015</v>
      </c>
      <c r="O844" s="3" t="str">
        <f>"157.760,00"</f>
        <v>157.760,00</v>
      </c>
      <c r="P844" s="4"/>
    </row>
    <row r="845" spans="2:16" s="15" customFormat="1" ht="78.75" x14ac:dyDescent="0.25">
      <c r="B845" s="12">
        <v>616</v>
      </c>
      <c r="C845" s="12" t="str">
        <f>"9-14/NOS-218/13"</f>
        <v>9-14/NOS-218/13</v>
      </c>
      <c r="D845" s="12" t="s">
        <v>16</v>
      </c>
      <c r="E845" s="12" t="s">
        <v>1250</v>
      </c>
      <c r="F845" s="12" t="s">
        <v>1270</v>
      </c>
      <c r="G845" s="12" t="str">
        <f>"9-14/NOS-218/13"</f>
        <v>9-14/NOS-218/13</v>
      </c>
      <c r="H845" s="12" t="str">
        <f t="shared" si="19"/>
        <v>Ugovor - narudžbenica (periodični predmet)</v>
      </c>
      <c r="I845" s="12" t="s">
        <v>19</v>
      </c>
      <c r="J845" s="13" t="str">
        <f>"1.164,00"</f>
        <v>1.164,00</v>
      </c>
      <c r="K845" s="12" t="s">
        <v>1264</v>
      </c>
      <c r="L845" s="12" t="s">
        <v>1253</v>
      </c>
      <c r="M845" s="12" t="s">
        <v>920</v>
      </c>
      <c r="N845" s="12" t="s">
        <v>23</v>
      </c>
      <c r="O845" s="13" t="str">
        <f>"0,00"</f>
        <v>0,00</v>
      </c>
      <c r="P845" s="14"/>
    </row>
    <row r="846" spans="2:16" ht="63" x14ac:dyDescent="0.25">
      <c r="B846" s="2">
        <v>617</v>
      </c>
      <c r="C846" s="2" t="str">
        <f>"15-14/NOS-8/13"</f>
        <v>15-14/NOS-8/13</v>
      </c>
      <c r="D846" s="2" t="s">
        <v>16</v>
      </c>
      <c r="E846" s="2" t="s">
        <v>1250</v>
      </c>
      <c r="F846" s="2" t="s">
        <v>1271</v>
      </c>
      <c r="G846" s="2" t="str">
        <f>"15-14/NOS-8/13"</f>
        <v>15-14/NOS-8/13</v>
      </c>
      <c r="H846" s="2" t="str">
        <f t="shared" si="19"/>
        <v>Ugovor - narudžbenica (periodični predmet)</v>
      </c>
      <c r="I846" s="2" t="s">
        <v>19</v>
      </c>
      <c r="J846" s="3" t="str">
        <f>"13.321,22"</f>
        <v>13.321,22</v>
      </c>
      <c r="K846" s="2" t="s">
        <v>695</v>
      </c>
      <c r="L846" s="2" t="s">
        <v>1253</v>
      </c>
      <c r="M846" s="2" t="s">
        <v>44</v>
      </c>
      <c r="N846" s="2" t="str">
        <f>"09.03.2015"</f>
        <v>09.03.2015</v>
      </c>
      <c r="O846" s="3" t="str">
        <f>"7.336,57"</f>
        <v>7.336,57</v>
      </c>
      <c r="P846" s="4"/>
    </row>
    <row r="847" spans="2:16" ht="63" x14ac:dyDescent="0.25">
      <c r="B847" s="2">
        <v>618</v>
      </c>
      <c r="C847" s="2" t="str">
        <f>"9-14/NOS-116-C/11"</f>
        <v>9-14/NOS-116-C/11</v>
      </c>
      <c r="D847" s="2" t="s">
        <v>16</v>
      </c>
      <c r="E847" s="2" t="s">
        <v>1250</v>
      </c>
      <c r="F847" s="2" t="s">
        <v>211</v>
      </c>
      <c r="G847" s="2" t="str">
        <f>"9-14/NOS-116-C/11"</f>
        <v>9-14/NOS-116-C/11</v>
      </c>
      <c r="H847" s="2" t="str">
        <f t="shared" si="19"/>
        <v>Ugovor - narudžbenica (periodični predmet)</v>
      </c>
      <c r="I847" s="2" t="s">
        <v>19</v>
      </c>
      <c r="J847" s="3" t="str">
        <f>"6.000,00"</f>
        <v>6.000,00</v>
      </c>
      <c r="K847" s="2" t="s">
        <v>695</v>
      </c>
      <c r="L847" s="2" t="s">
        <v>1253</v>
      </c>
      <c r="M847" s="2" t="s">
        <v>832</v>
      </c>
      <c r="N847" s="2" t="str">
        <f>"25.02.2015"</f>
        <v>25.02.2015</v>
      </c>
      <c r="O847" s="3" t="str">
        <f>"5.389,46"</f>
        <v>5.389,46</v>
      </c>
      <c r="P847" s="4"/>
    </row>
    <row r="848" spans="2:16" ht="63" x14ac:dyDescent="0.25">
      <c r="B848" s="2">
        <v>619</v>
      </c>
      <c r="C848" s="2" t="str">
        <f>"20-14/NOS-29/12"</f>
        <v>20-14/NOS-29/12</v>
      </c>
      <c r="D848" s="2" t="s">
        <v>85</v>
      </c>
      <c r="E848" s="2" t="s">
        <v>1250</v>
      </c>
      <c r="F848" s="2" t="s">
        <v>1269</v>
      </c>
      <c r="G848" s="2" t="str">
        <f>"20-14/NOS-29/12"</f>
        <v>20-14/NOS-29/12</v>
      </c>
      <c r="H848" s="2" t="str">
        <f t="shared" si="19"/>
        <v>Ugovor - narudžbenica (periodični predmet)</v>
      </c>
      <c r="I848" s="2" t="s">
        <v>19</v>
      </c>
      <c r="J848" s="3" t="str">
        <f>"837.102,00"</f>
        <v>837.102,00</v>
      </c>
      <c r="K848" s="2" t="s">
        <v>701</v>
      </c>
      <c r="L848" s="2" t="s">
        <v>1266</v>
      </c>
      <c r="M848" s="2" t="s">
        <v>250</v>
      </c>
      <c r="N848" s="2" t="str">
        <f>"28.12.2015"</f>
        <v>28.12.2015</v>
      </c>
      <c r="O848" s="3" t="str">
        <f>"649.722,90"</f>
        <v>649.722,90</v>
      </c>
      <c r="P848" s="4"/>
    </row>
    <row r="849" spans="2:16" ht="63" x14ac:dyDescent="0.25">
      <c r="B849" s="2">
        <v>620</v>
      </c>
      <c r="C849" s="2" t="str">
        <f>"18-14/NOS-53-ZGH/14"</f>
        <v>18-14/NOS-53-ZGH/14</v>
      </c>
      <c r="D849" s="2" t="s">
        <v>16</v>
      </c>
      <c r="E849" s="2" t="s">
        <v>1250</v>
      </c>
      <c r="F849" s="2" t="s">
        <v>1272</v>
      </c>
      <c r="G849" s="2" t="str">
        <f>"18-14/NOS-53-ZGH/14"</f>
        <v>18-14/NOS-53-ZGH/14</v>
      </c>
      <c r="H849" s="2" t="str">
        <f t="shared" si="19"/>
        <v>Ugovor - narudžbenica (periodični predmet)</v>
      </c>
      <c r="I849" s="2" t="s">
        <v>19</v>
      </c>
      <c r="J849" s="3" t="str">
        <f>"700,80"</f>
        <v>700,80</v>
      </c>
      <c r="K849" s="2" t="s">
        <v>703</v>
      </c>
      <c r="L849" s="2" t="s">
        <v>1266</v>
      </c>
      <c r="M849" s="2" t="s">
        <v>1097</v>
      </c>
      <c r="N849" s="2" t="str">
        <f>"24.02.2015"</f>
        <v>24.02.2015</v>
      </c>
      <c r="O849" s="3" t="str">
        <f>"700,80"</f>
        <v>700,80</v>
      </c>
      <c r="P849" s="4"/>
    </row>
    <row r="850" spans="2:16" ht="63" x14ac:dyDescent="0.25">
      <c r="B850" s="2">
        <v>621</v>
      </c>
      <c r="C850" s="2" t="str">
        <f>"3-14/NOS-83/14"</f>
        <v>3-14/NOS-83/14</v>
      </c>
      <c r="D850" s="2" t="s">
        <v>28</v>
      </c>
      <c r="E850" s="2" t="s">
        <v>1250</v>
      </c>
      <c r="F850" s="2" t="s">
        <v>1273</v>
      </c>
      <c r="G850" s="2" t="str">
        <f>"3-14/NOS-83/14"</f>
        <v>3-14/NOS-83/14</v>
      </c>
      <c r="H850" s="2" t="str">
        <f t="shared" si="19"/>
        <v>Ugovor - narudžbenica (periodični predmet)</v>
      </c>
      <c r="I850" s="2" t="s">
        <v>19</v>
      </c>
      <c r="J850" s="3" t="str">
        <f>"39.364,00"</f>
        <v>39.364,00</v>
      </c>
      <c r="K850" s="2" t="s">
        <v>703</v>
      </c>
      <c r="L850" s="2" t="s">
        <v>1253</v>
      </c>
      <c r="M850" s="2" t="s">
        <v>754</v>
      </c>
      <c r="N850" s="2" t="str">
        <f>"11.03.2015"</f>
        <v>11.03.2015</v>
      </c>
      <c r="O850" s="3" t="str">
        <f>"39.364,00"</f>
        <v>39.364,00</v>
      </c>
      <c r="P850" s="4"/>
    </row>
    <row r="851" spans="2:16" ht="63" x14ac:dyDescent="0.25">
      <c r="B851" s="2">
        <v>622</v>
      </c>
      <c r="C851" s="2" t="str">
        <f>"1-14/NOS-90/14"</f>
        <v>1-14/NOS-90/14</v>
      </c>
      <c r="D851" s="2" t="s">
        <v>16</v>
      </c>
      <c r="E851" s="2" t="s">
        <v>1250</v>
      </c>
      <c r="F851" s="2" t="s">
        <v>1274</v>
      </c>
      <c r="G851" s="2" t="str">
        <f>"1-14/NOS-90/14"</f>
        <v>1-14/NOS-90/14</v>
      </c>
      <c r="H851" s="2" t="str">
        <f t="shared" si="19"/>
        <v>Ugovor - narudžbenica (periodični predmet)</v>
      </c>
      <c r="I851" s="2" t="s">
        <v>19</v>
      </c>
      <c r="J851" s="3" t="str">
        <f>"6.606,00"</f>
        <v>6.606,00</v>
      </c>
      <c r="K851" s="2" t="s">
        <v>719</v>
      </c>
      <c r="L851" s="2" t="s">
        <v>1253</v>
      </c>
      <c r="M851" s="2" t="s">
        <v>419</v>
      </c>
      <c r="N851" s="2" t="str">
        <f>"16.01.2015"</f>
        <v>16.01.2015</v>
      </c>
      <c r="O851" s="3" t="str">
        <f>"6.606,00"</f>
        <v>6.606,00</v>
      </c>
      <c r="P851" s="4"/>
    </row>
    <row r="852" spans="2:16" ht="63" x14ac:dyDescent="0.25">
      <c r="B852" s="2">
        <v>623</v>
      </c>
      <c r="C852" s="2" t="str">
        <f>"13-14/NOS-24-ZGH/14"</f>
        <v>13-14/NOS-24-ZGH/14</v>
      </c>
      <c r="D852" s="2" t="s">
        <v>1275</v>
      </c>
      <c r="E852" s="2" t="s">
        <v>1250</v>
      </c>
      <c r="F852" s="2" t="s">
        <v>1276</v>
      </c>
      <c r="G852" s="2" t="str">
        <f>"13-14/NOS-24-ZGH/14"</f>
        <v>13-14/NOS-24-ZGH/14</v>
      </c>
      <c r="H852" s="2" t="str">
        <f t="shared" si="19"/>
        <v>Ugovor - narudžbenica (periodični predmet)</v>
      </c>
      <c r="I852" s="2" t="s">
        <v>19</v>
      </c>
      <c r="J852" s="3" t="str">
        <f>"16.493,00"</f>
        <v>16.493,00</v>
      </c>
      <c r="K852" s="2" t="s">
        <v>719</v>
      </c>
      <c r="L852" s="2" t="s">
        <v>1253</v>
      </c>
      <c r="M852" s="2" t="s">
        <v>711</v>
      </c>
      <c r="N852" s="2" t="str">
        <f>"03.03.2015"</f>
        <v>03.03.2015</v>
      </c>
      <c r="O852" s="3" t="str">
        <f>"16.493,00"</f>
        <v>16.493,00</v>
      </c>
      <c r="P852" s="4"/>
    </row>
    <row r="853" spans="2:16" ht="63" x14ac:dyDescent="0.25">
      <c r="B853" s="2">
        <v>624</v>
      </c>
      <c r="C853" s="2" t="str">
        <f>"4-14/NOS-89/14"</f>
        <v>4-14/NOS-89/14</v>
      </c>
      <c r="D853" s="2" t="s">
        <v>16</v>
      </c>
      <c r="E853" s="2" t="s">
        <v>1250</v>
      </c>
      <c r="F853" s="2" t="s">
        <v>1277</v>
      </c>
      <c r="G853" s="2" t="str">
        <f>"4-14/NOS-89/14"</f>
        <v>4-14/NOS-89/14</v>
      </c>
      <c r="H853" s="2" t="str">
        <f t="shared" si="19"/>
        <v>Ugovor - narudžbenica (periodični predmet)</v>
      </c>
      <c r="I853" s="2" t="s">
        <v>19</v>
      </c>
      <c r="J853" s="3" t="str">
        <f>"24.046,46"</f>
        <v>24.046,46</v>
      </c>
      <c r="K853" s="2" t="s">
        <v>719</v>
      </c>
      <c r="L853" s="2" t="s">
        <v>1253</v>
      </c>
      <c r="M853" s="2" t="s">
        <v>868</v>
      </c>
      <c r="N853" s="2" t="str">
        <f>"17.02.2015"</f>
        <v>17.02.2015</v>
      </c>
      <c r="O853" s="3" t="str">
        <f>"23.312,06"</f>
        <v>23.312,06</v>
      </c>
      <c r="P853" s="4"/>
    </row>
    <row r="854" spans="2:16" ht="63" x14ac:dyDescent="0.25">
      <c r="B854" s="2">
        <v>625</v>
      </c>
      <c r="C854" s="2" t="str">
        <f>"16-14/NOS-53-ZGH/14"</f>
        <v>16-14/NOS-53-ZGH/14</v>
      </c>
      <c r="D854" s="2" t="s">
        <v>28</v>
      </c>
      <c r="E854" s="2" t="s">
        <v>1250</v>
      </c>
      <c r="F854" s="2" t="s">
        <v>1272</v>
      </c>
      <c r="G854" s="2" t="str">
        <f>"16-14/NOS-53-ZGH/14"</f>
        <v>16-14/NOS-53-ZGH/14</v>
      </c>
      <c r="H854" s="2" t="str">
        <f t="shared" si="19"/>
        <v>Ugovor - narudžbenica (periodični predmet)</v>
      </c>
      <c r="I854" s="2" t="s">
        <v>19</v>
      </c>
      <c r="J854" s="3" t="str">
        <f>"62.148,80"</f>
        <v>62.148,80</v>
      </c>
      <c r="K854" s="2" t="s">
        <v>719</v>
      </c>
      <c r="L854" s="2" t="s">
        <v>1253</v>
      </c>
      <c r="M854" s="2" t="s">
        <v>1097</v>
      </c>
      <c r="N854" s="2" t="str">
        <f>"08.01.2016"</f>
        <v>08.01.2016</v>
      </c>
      <c r="O854" s="3" t="str">
        <f>"62.004,25"</f>
        <v>62.004,25</v>
      </c>
      <c r="P854" s="4"/>
    </row>
    <row r="855" spans="2:16" ht="63" x14ac:dyDescent="0.25">
      <c r="B855" s="2">
        <v>626</v>
      </c>
      <c r="C855" s="2" t="str">
        <f>"20-14/NOS-11-ZGH/14"</f>
        <v>20-14/NOS-11-ZGH/14</v>
      </c>
      <c r="D855" s="2" t="s">
        <v>242</v>
      </c>
      <c r="E855" s="2" t="s">
        <v>1250</v>
      </c>
      <c r="F855" s="2" t="s">
        <v>1278</v>
      </c>
      <c r="G855" s="2" t="str">
        <f>"20-14/NOS-11-ZGH/14"</f>
        <v>20-14/NOS-11-ZGH/14</v>
      </c>
      <c r="H855" s="2" t="str">
        <f t="shared" si="19"/>
        <v>Ugovor - narudžbenica (periodični predmet)</v>
      </c>
      <c r="I855" s="2" t="s">
        <v>19</v>
      </c>
      <c r="J855" s="3" t="str">
        <f>"80.016,59"</f>
        <v>80.016,59</v>
      </c>
      <c r="K855" s="2" t="s">
        <v>1279</v>
      </c>
      <c r="L855" s="2" t="s">
        <v>764</v>
      </c>
      <c r="M855" s="2" t="s">
        <v>1280</v>
      </c>
      <c r="N855" s="2" t="str">
        <f>"26.03.2015"</f>
        <v>26.03.2015</v>
      </c>
      <c r="O855" s="3" t="str">
        <f>"73.211,59"</f>
        <v>73.211,59</v>
      </c>
      <c r="P855" s="4"/>
    </row>
    <row r="856" spans="2:16" ht="63" x14ac:dyDescent="0.25">
      <c r="B856" s="2">
        <v>627</v>
      </c>
      <c r="C856" s="2" t="str">
        <f>"6-14/NOS-35/14"</f>
        <v>6-14/NOS-35/14</v>
      </c>
      <c r="D856" s="2" t="s">
        <v>85</v>
      </c>
      <c r="E856" s="2" t="s">
        <v>1250</v>
      </c>
      <c r="F856" s="2" t="s">
        <v>1281</v>
      </c>
      <c r="G856" s="2" t="str">
        <f>"6-14/NOS-35/14"</f>
        <v>6-14/NOS-35/14</v>
      </c>
      <c r="H856" s="2" t="str">
        <f t="shared" si="19"/>
        <v>Ugovor - narudžbenica (periodični predmet)</v>
      </c>
      <c r="I856" s="2" t="s">
        <v>19</v>
      </c>
      <c r="J856" s="3" t="str">
        <f>"1.960,00"</f>
        <v>1.960,00</v>
      </c>
      <c r="K856" s="2" t="s">
        <v>380</v>
      </c>
      <c r="L856" s="2" t="s">
        <v>38</v>
      </c>
      <c r="M856" s="2" t="s">
        <v>1282</v>
      </c>
      <c r="N856" s="2" t="str">
        <f>"11.03.2015"</f>
        <v>11.03.2015</v>
      </c>
      <c r="O856" s="3" t="str">
        <f>"1.960,00"</f>
        <v>1.960,00</v>
      </c>
      <c r="P856" s="4"/>
    </row>
    <row r="857" spans="2:16" ht="63" x14ac:dyDescent="0.25">
      <c r="B857" s="2">
        <v>628</v>
      </c>
      <c r="C857" s="2" t="str">
        <f>"14-15/NOS-29/12"</f>
        <v>14-15/NOS-29/12</v>
      </c>
      <c r="D857" s="2" t="s">
        <v>85</v>
      </c>
      <c r="E857" s="2" t="s">
        <v>1250</v>
      </c>
      <c r="F857" s="2" t="s">
        <v>1269</v>
      </c>
      <c r="G857" s="2" t="str">
        <f>"14-15/NOS-29/12"</f>
        <v>14-15/NOS-29/12</v>
      </c>
      <c r="H857" s="2" t="str">
        <f t="shared" si="19"/>
        <v>Ugovor - narudžbenica (periodični predmet)</v>
      </c>
      <c r="I857" s="2" t="s">
        <v>19</v>
      </c>
      <c r="J857" s="3" t="str">
        <f>"26.076,90"</f>
        <v>26.076,90</v>
      </c>
      <c r="K857" s="2" t="s">
        <v>817</v>
      </c>
      <c r="L857" s="2" t="s">
        <v>714</v>
      </c>
      <c r="M857" s="2" t="s">
        <v>1201</v>
      </c>
      <c r="N857" s="2" t="str">
        <f>"24.06.2015"</f>
        <v>24.06.2015</v>
      </c>
      <c r="O857" s="3" t="str">
        <f>"26.076,90"</f>
        <v>26.076,90</v>
      </c>
      <c r="P857" s="4"/>
    </row>
    <row r="858" spans="2:16" ht="63" x14ac:dyDescent="0.25">
      <c r="B858" s="2">
        <v>629</v>
      </c>
      <c r="C858" s="2" t="str">
        <f>"15-15/NOS-29/12"</f>
        <v>15-15/NOS-29/12</v>
      </c>
      <c r="D858" s="2" t="s">
        <v>85</v>
      </c>
      <c r="E858" s="2" t="s">
        <v>1250</v>
      </c>
      <c r="F858" s="2" t="s">
        <v>1269</v>
      </c>
      <c r="G858" s="2" t="str">
        <f>"15-15/NOS-29/12"</f>
        <v>15-15/NOS-29/12</v>
      </c>
      <c r="H858" s="2" t="str">
        <f t="shared" si="19"/>
        <v>Ugovor - narudžbenica (periodični predmet)</v>
      </c>
      <c r="I858" s="2" t="s">
        <v>19</v>
      </c>
      <c r="J858" s="3" t="str">
        <f>"125.871,45"</f>
        <v>125.871,45</v>
      </c>
      <c r="K858" s="2" t="s">
        <v>1283</v>
      </c>
      <c r="L858" s="2" t="s">
        <v>900</v>
      </c>
      <c r="M858" s="2" t="s">
        <v>572</v>
      </c>
      <c r="N858" s="2" t="str">
        <f>"24.06.2015"</f>
        <v>24.06.2015</v>
      </c>
      <c r="O858" s="3" t="str">
        <f>"125.871,45"</f>
        <v>125.871,45</v>
      </c>
      <c r="P858" s="4"/>
    </row>
    <row r="859" spans="2:16" ht="63" x14ac:dyDescent="0.25">
      <c r="B859" s="2">
        <v>630</v>
      </c>
      <c r="C859" s="2" t="str">
        <f>"1-15/NOS-50/12"</f>
        <v>1-15/NOS-50/12</v>
      </c>
      <c r="D859" s="2" t="s">
        <v>85</v>
      </c>
      <c r="E859" s="2" t="s">
        <v>1250</v>
      </c>
      <c r="F859" s="2" t="s">
        <v>1284</v>
      </c>
      <c r="G859" s="2" t="str">
        <f>"1-15/NOS-50/12"</f>
        <v>1-15/NOS-50/12</v>
      </c>
      <c r="H859" s="2" t="str">
        <f t="shared" si="19"/>
        <v>Ugovor - narudžbenica (periodični predmet)</v>
      </c>
      <c r="I859" s="2" t="s">
        <v>19</v>
      </c>
      <c r="J859" s="3" t="str">
        <f>"49.627,20"</f>
        <v>49.627,20</v>
      </c>
      <c r="K859" s="2" t="s">
        <v>113</v>
      </c>
      <c r="L859" s="2" t="s">
        <v>307</v>
      </c>
      <c r="M859" s="2" t="s">
        <v>346</v>
      </c>
      <c r="N859" s="2" t="str">
        <f>"17.09.2015"</f>
        <v>17.09.2015</v>
      </c>
      <c r="O859" s="3" t="str">
        <f>"48.874,00"</f>
        <v>48.874,00</v>
      </c>
      <c r="P859" s="4"/>
    </row>
    <row r="860" spans="2:16" ht="63" x14ac:dyDescent="0.25">
      <c r="B860" s="2">
        <v>631</v>
      </c>
      <c r="C860" s="2" t="str">
        <f>"1-15/NOS-108/14"</f>
        <v>1-15/NOS-108/14</v>
      </c>
      <c r="D860" s="2" t="s">
        <v>16</v>
      </c>
      <c r="E860" s="2" t="s">
        <v>1250</v>
      </c>
      <c r="F860" s="2" t="s">
        <v>41</v>
      </c>
      <c r="G860" s="2" t="str">
        <f>"1-15/NOS-108/14"</f>
        <v>1-15/NOS-108/14</v>
      </c>
      <c r="H860" s="2" t="str">
        <f t="shared" si="19"/>
        <v>Ugovor - narudžbenica (periodični predmet)</v>
      </c>
      <c r="I860" s="2" t="s">
        <v>19</v>
      </c>
      <c r="J860" s="3" t="str">
        <f>"14.421,30"</f>
        <v>14.421,30</v>
      </c>
      <c r="K860" s="2" t="s">
        <v>148</v>
      </c>
      <c r="L860" s="2" t="s">
        <v>326</v>
      </c>
      <c r="M860" s="2" t="s">
        <v>45</v>
      </c>
      <c r="N860" s="2" t="str">
        <f>"23.04.2015"</f>
        <v>23.04.2015</v>
      </c>
      <c r="O860" s="3" t="str">
        <f>"13.771,30"</f>
        <v>13.771,30</v>
      </c>
      <c r="P860" s="4"/>
    </row>
    <row r="861" spans="2:16" ht="63" x14ac:dyDescent="0.25">
      <c r="B861" s="2">
        <v>632</v>
      </c>
      <c r="C861" s="2" t="str">
        <f>"5-15/NOS-97/14"</f>
        <v>5-15/NOS-97/14</v>
      </c>
      <c r="D861" s="2" t="s">
        <v>28</v>
      </c>
      <c r="E861" s="2" t="s">
        <v>1250</v>
      </c>
      <c r="F861" s="2" t="s">
        <v>1285</v>
      </c>
      <c r="G861" s="2" t="str">
        <f>"5-15/NOS-97/14"</f>
        <v>5-15/NOS-97/14</v>
      </c>
      <c r="H861" s="2" t="str">
        <f t="shared" si="19"/>
        <v>Ugovor - narudžbenica (periodični predmet)</v>
      </c>
      <c r="I861" s="2" t="s">
        <v>19</v>
      </c>
      <c r="J861" s="3" t="str">
        <f>"157.303,25"</f>
        <v>157.303,25</v>
      </c>
      <c r="K861" s="2" t="s">
        <v>148</v>
      </c>
      <c r="L861" s="2" t="s">
        <v>117</v>
      </c>
      <c r="M861" s="2" t="s">
        <v>44</v>
      </c>
      <c r="N861" s="2" t="str">
        <f>"02.06.2015"</f>
        <v>02.06.2015</v>
      </c>
      <c r="O861" s="3" t="str">
        <f>"157.096,58"</f>
        <v>157.096,58</v>
      </c>
      <c r="P861" s="4"/>
    </row>
    <row r="862" spans="2:16" ht="63" x14ac:dyDescent="0.25">
      <c r="B862" s="2">
        <v>633</v>
      </c>
      <c r="C862" s="2" t="str">
        <f>"1-15/NOS-106/14"</f>
        <v>1-15/NOS-106/14</v>
      </c>
      <c r="D862" s="2" t="s">
        <v>16</v>
      </c>
      <c r="E862" s="2" t="s">
        <v>1250</v>
      </c>
      <c r="F862" s="2" t="s">
        <v>51</v>
      </c>
      <c r="G862" s="2" t="str">
        <f>"1-15/NOS-106/14"</f>
        <v>1-15/NOS-106/14</v>
      </c>
      <c r="H862" s="2" t="str">
        <f t="shared" si="19"/>
        <v>Ugovor - narudžbenica (periodični predmet)</v>
      </c>
      <c r="I862" s="2" t="s">
        <v>19</v>
      </c>
      <c r="J862" s="3" t="str">
        <f>"14.508,70"</f>
        <v>14.508,70</v>
      </c>
      <c r="K862" s="2" t="s">
        <v>48</v>
      </c>
      <c r="L862" s="2" t="s">
        <v>858</v>
      </c>
      <c r="M862" s="2" t="s">
        <v>52</v>
      </c>
      <c r="N862" s="2" t="str">
        <f>"22.07.2015"</f>
        <v>22.07.2015</v>
      </c>
      <c r="O862" s="3" t="str">
        <f>"13.621,90"</f>
        <v>13.621,90</v>
      </c>
      <c r="P862" s="4"/>
    </row>
    <row r="863" spans="2:16" ht="63" x14ac:dyDescent="0.25">
      <c r="B863" s="2">
        <v>634</v>
      </c>
      <c r="C863" s="2" t="str">
        <f>"1-15/NOS-99/14"</f>
        <v>1-15/NOS-99/14</v>
      </c>
      <c r="D863" s="2" t="s">
        <v>16</v>
      </c>
      <c r="E863" s="2" t="s">
        <v>1250</v>
      </c>
      <c r="F863" s="2" t="s">
        <v>31</v>
      </c>
      <c r="G863" s="2" t="str">
        <f>"1-15/NOS-99/14"</f>
        <v>1-15/NOS-99/14</v>
      </c>
      <c r="H863" s="2" t="str">
        <f t="shared" si="19"/>
        <v>Ugovor - narudžbenica (periodični predmet)</v>
      </c>
      <c r="I863" s="2" t="s">
        <v>19</v>
      </c>
      <c r="J863" s="3" t="str">
        <f>"7.772,52"</f>
        <v>7.772,52</v>
      </c>
      <c r="K863" s="2" t="s">
        <v>48</v>
      </c>
      <c r="L863" s="2" t="s">
        <v>858</v>
      </c>
      <c r="M863" s="2" t="s">
        <v>34</v>
      </c>
      <c r="N863" s="2" t="str">
        <f>"13.05.2015"</f>
        <v>13.05.2015</v>
      </c>
      <c r="O863" s="3" t="str">
        <f>"7.772,52"</f>
        <v>7.772,52</v>
      </c>
      <c r="P863" s="4"/>
    </row>
    <row r="864" spans="2:16" ht="63" x14ac:dyDescent="0.25">
      <c r="B864" s="2">
        <v>635</v>
      </c>
      <c r="C864" s="2" t="str">
        <f>"10-15/NOS-89/14"</f>
        <v>10-15/NOS-89/14</v>
      </c>
      <c r="D864" s="2" t="s">
        <v>242</v>
      </c>
      <c r="E864" s="2" t="s">
        <v>1250</v>
      </c>
      <c r="F864" s="2" t="s">
        <v>1277</v>
      </c>
      <c r="G864" s="2" t="str">
        <f>"10-15/NOS-89/14"</f>
        <v>10-15/NOS-89/14</v>
      </c>
      <c r="H864" s="2" t="str">
        <f t="shared" si="19"/>
        <v>Ugovor - narudžbenica (periodični predmet)</v>
      </c>
      <c r="I864" s="2" t="s">
        <v>19</v>
      </c>
      <c r="J864" s="3" t="str">
        <f>"55.908,54"</f>
        <v>55.908,54</v>
      </c>
      <c r="K864" s="2" t="s">
        <v>48</v>
      </c>
      <c r="L864" s="2" t="s">
        <v>307</v>
      </c>
      <c r="M864" s="2" t="s">
        <v>868</v>
      </c>
      <c r="N864" s="2" t="str">
        <f>"23.10.2015"</f>
        <v>23.10.2015</v>
      </c>
      <c r="O864" s="3" t="str">
        <f>"54.390,71"</f>
        <v>54.390,71</v>
      </c>
      <c r="P864" s="4"/>
    </row>
    <row r="865" spans="2:16" ht="63" x14ac:dyDescent="0.25">
      <c r="B865" s="2">
        <v>636</v>
      </c>
      <c r="C865" s="2" t="str">
        <f>"6-15/NOS-83/14"</f>
        <v>6-15/NOS-83/14</v>
      </c>
      <c r="D865" s="2" t="s">
        <v>28</v>
      </c>
      <c r="E865" s="2" t="s">
        <v>1250</v>
      </c>
      <c r="F865" s="2" t="s">
        <v>1273</v>
      </c>
      <c r="G865" s="2" t="str">
        <f>"6-15/NOS-83/14"</f>
        <v>6-15/NOS-83/14</v>
      </c>
      <c r="H865" s="2" t="str">
        <f t="shared" si="19"/>
        <v>Ugovor - narudžbenica (periodični predmet)</v>
      </c>
      <c r="I865" s="2" t="s">
        <v>19</v>
      </c>
      <c r="J865" s="3" t="str">
        <f>"46.440,00"</f>
        <v>46.440,00</v>
      </c>
      <c r="K865" s="2" t="s">
        <v>48</v>
      </c>
      <c r="L865" s="2" t="s">
        <v>117</v>
      </c>
      <c r="M865" s="2" t="s">
        <v>754</v>
      </c>
      <c r="N865" s="2" t="str">
        <f>"01.10.2015"</f>
        <v>01.10.2015</v>
      </c>
      <c r="O865" s="3" t="str">
        <f>"45.282,00"</f>
        <v>45.282,00</v>
      </c>
      <c r="P865" s="4"/>
    </row>
    <row r="866" spans="2:16" ht="63" x14ac:dyDescent="0.25">
      <c r="B866" s="2">
        <v>637</v>
      </c>
      <c r="C866" s="2" t="str">
        <f>"3-15/NOS-56/14"</f>
        <v>3-15/NOS-56/14</v>
      </c>
      <c r="D866" s="2" t="s">
        <v>16</v>
      </c>
      <c r="E866" s="2" t="s">
        <v>1250</v>
      </c>
      <c r="F866" s="2" t="s">
        <v>1286</v>
      </c>
      <c r="G866" s="2" t="str">
        <f>"3-15/NOS-56/14"</f>
        <v>3-15/NOS-56/14</v>
      </c>
      <c r="H866" s="2" t="str">
        <f t="shared" si="19"/>
        <v>Ugovor - narudžbenica (periodični predmet)</v>
      </c>
      <c r="I866" s="2" t="s">
        <v>19</v>
      </c>
      <c r="J866" s="3" t="str">
        <f>"31.900,00"</f>
        <v>31.900,00</v>
      </c>
      <c r="K866" s="2" t="s">
        <v>852</v>
      </c>
      <c r="L866" s="2" t="s">
        <v>858</v>
      </c>
      <c r="M866" s="2" t="s">
        <v>715</v>
      </c>
      <c r="N866" s="2" t="str">
        <f>"29.04.2015"</f>
        <v>29.04.2015</v>
      </c>
      <c r="O866" s="3" t="str">
        <f>"31.900,00"</f>
        <v>31.900,00</v>
      </c>
      <c r="P866" s="4"/>
    </row>
    <row r="867" spans="2:16" ht="15.75" x14ac:dyDescent="0.25">
      <c r="B867" s="36">
        <v>638</v>
      </c>
      <c r="C867" s="36" t="str">
        <f>"18-15/NOS-53-ZGH/14"</f>
        <v>18-15/NOS-53-ZGH/14</v>
      </c>
      <c r="D867" s="36" t="s">
        <v>28</v>
      </c>
      <c r="E867" s="36" t="s">
        <v>1250</v>
      </c>
      <c r="F867" s="36" t="s">
        <v>1272</v>
      </c>
      <c r="G867" s="36" t="str">
        <f>"18-15/NOS-53-ZGH/14"</f>
        <v>18-15/NOS-53-ZGH/14</v>
      </c>
      <c r="H867" s="36" t="str">
        <f t="shared" si="19"/>
        <v>Ugovor - narudžbenica (periodični predmet)</v>
      </c>
      <c r="I867" s="36" t="s">
        <v>19</v>
      </c>
      <c r="J867" s="38" t="str">
        <f>"38.057,55"</f>
        <v>38.057,55</v>
      </c>
      <c r="K867" s="36" t="s">
        <v>852</v>
      </c>
      <c r="L867" s="36" t="s">
        <v>326</v>
      </c>
      <c r="M867" s="36" t="s">
        <v>1097</v>
      </c>
      <c r="N867" s="36" t="str">
        <f>"12.08.2015"</f>
        <v>12.08.2015</v>
      </c>
      <c r="O867" s="38" t="str">
        <f>"37.815,75"</f>
        <v>37.815,75</v>
      </c>
      <c r="P867" s="6"/>
    </row>
    <row r="868" spans="2:16" ht="15.75" x14ac:dyDescent="0.25">
      <c r="B868" s="37"/>
      <c r="C868" s="37"/>
      <c r="D868" s="37"/>
      <c r="E868" s="37"/>
      <c r="F868" s="37"/>
      <c r="G868" s="37"/>
      <c r="H868" s="37"/>
      <c r="I868" s="37"/>
      <c r="J868" s="39"/>
      <c r="K868" s="37"/>
      <c r="L868" s="37"/>
      <c r="M868" s="37"/>
      <c r="N868" s="37"/>
      <c r="O868" s="39"/>
      <c r="P868" s="8"/>
    </row>
    <row r="869" spans="2:16" ht="63" x14ac:dyDescent="0.25">
      <c r="B869" s="2">
        <v>639</v>
      </c>
      <c r="C869" s="2" t="str">
        <f>"2-15/NOS-70/14"</f>
        <v>2-15/NOS-70/14</v>
      </c>
      <c r="D869" s="2" t="s">
        <v>16</v>
      </c>
      <c r="E869" s="2" t="s">
        <v>1250</v>
      </c>
      <c r="F869" s="2" t="s">
        <v>1287</v>
      </c>
      <c r="G869" s="2" t="str">
        <f>"2-15/NOS-70/14"</f>
        <v>2-15/NOS-70/14</v>
      </c>
      <c r="H869" s="2" t="str">
        <f t="shared" ref="H869:H904" si="20">"Ugovor - narudžbenica (periodični predmet)"</f>
        <v>Ugovor - narudžbenica (periodični predmet)</v>
      </c>
      <c r="I869" s="2" t="s">
        <v>19</v>
      </c>
      <c r="J869" s="3" t="str">
        <f>"262.893,00"</f>
        <v>262.893,00</v>
      </c>
      <c r="K869" s="2" t="s">
        <v>852</v>
      </c>
      <c r="L869" s="2" t="s">
        <v>117</v>
      </c>
      <c r="M869" s="2" t="s">
        <v>1288</v>
      </c>
      <c r="N869" s="2" t="str">
        <f>"08.09.2015"</f>
        <v>08.09.2015</v>
      </c>
      <c r="O869" s="3" t="str">
        <f>"227.713,00"</f>
        <v>227.713,00</v>
      </c>
      <c r="P869" s="4"/>
    </row>
    <row r="870" spans="2:16" ht="63" x14ac:dyDescent="0.25">
      <c r="B870" s="2">
        <v>640</v>
      </c>
      <c r="C870" s="2" t="str">
        <f>"43-15/NOS-11-ZGH/14"</f>
        <v>43-15/NOS-11-ZGH/14</v>
      </c>
      <c r="D870" s="2" t="s">
        <v>242</v>
      </c>
      <c r="E870" s="2" t="s">
        <v>1250</v>
      </c>
      <c r="F870" s="2" t="s">
        <v>1278</v>
      </c>
      <c r="G870" s="2" t="str">
        <f>"43-15/NOS-11-ZGH/14"</f>
        <v>43-15/NOS-11-ZGH/14</v>
      </c>
      <c r="H870" s="2" t="str">
        <f t="shared" si="20"/>
        <v>Ugovor - narudžbenica (periodični predmet)</v>
      </c>
      <c r="I870" s="2" t="s">
        <v>19</v>
      </c>
      <c r="J870" s="3" t="str">
        <f>"80.579,90"</f>
        <v>80.579,90</v>
      </c>
      <c r="K870" s="2" t="s">
        <v>858</v>
      </c>
      <c r="L870" s="2" t="s">
        <v>117</v>
      </c>
      <c r="M870" s="2" t="s">
        <v>1280</v>
      </c>
      <c r="N870" s="2" t="str">
        <f>"30.06.2015"</f>
        <v>30.06.2015</v>
      </c>
      <c r="O870" s="3" t="str">
        <f>"80.579,90"</f>
        <v>80.579,90</v>
      </c>
      <c r="P870" s="4"/>
    </row>
    <row r="871" spans="2:16" ht="63" x14ac:dyDescent="0.25">
      <c r="B871" s="2">
        <v>641</v>
      </c>
      <c r="C871" s="2" t="str">
        <f>"15-15/NOS-89/14"</f>
        <v>15-15/NOS-89/14</v>
      </c>
      <c r="D871" s="2" t="s">
        <v>16</v>
      </c>
      <c r="E871" s="2" t="s">
        <v>1250</v>
      </c>
      <c r="F871" s="2" t="s">
        <v>1277</v>
      </c>
      <c r="G871" s="2" t="str">
        <f>"15-15/NOS-89/14"</f>
        <v>15-15/NOS-89/14</v>
      </c>
      <c r="H871" s="2" t="str">
        <f t="shared" si="20"/>
        <v>Ugovor - narudžbenica (periodični predmet)</v>
      </c>
      <c r="I871" s="2" t="s">
        <v>19</v>
      </c>
      <c r="J871" s="3" t="str">
        <f>"680,51"</f>
        <v>680,51</v>
      </c>
      <c r="K871" s="2" t="s">
        <v>864</v>
      </c>
      <c r="L871" s="2" t="s">
        <v>1289</v>
      </c>
      <c r="M871" s="2" t="s">
        <v>868</v>
      </c>
      <c r="N871" s="2" t="str">
        <f>"29.06.2015"</f>
        <v>29.06.2015</v>
      </c>
      <c r="O871" s="3" t="str">
        <f>"680,51"</f>
        <v>680,51</v>
      </c>
      <c r="P871" s="4"/>
    </row>
    <row r="872" spans="2:16" ht="63" x14ac:dyDescent="0.25">
      <c r="B872" s="2">
        <v>642</v>
      </c>
      <c r="C872" s="2" t="str">
        <f>"24-15/NOS-53-ZGH/14"</f>
        <v>24-15/NOS-53-ZGH/14</v>
      </c>
      <c r="D872" s="2" t="s">
        <v>16</v>
      </c>
      <c r="E872" s="2" t="s">
        <v>1250</v>
      </c>
      <c r="F872" s="2" t="s">
        <v>1272</v>
      </c>
      <c r="G872" s="2" t="str">
        <f>"24-15/NOS-53-ZGH/14"</f>
        <v>24-15/NOS-53-ZGH/14</v>
      </c>
      <c r="H872" s="2" t="str">
        <f t="shared" si="20"/>
        <v>Ugovor - narudžbenica (periodični predmet)</v>
      </c>
      <c r="I872" s="2" t="s">
        <v>19</v>
      </c>
      <c r="J872" s="3" t="str">
        <f>"29.065,90"</f>
        <v>29.065,90</v>
      </c>
      <c r="K872" s="2" t="s">
        <v>864</v>
      </c>
      <c r="L872" s="2" t="s">
        <v>326</v>
      </c>
      <c r="M872" s="2" t="s">
        <v>1097</v>
      </c>
      <c r="N872" s="2" t="str">
        <f>"16.05.2015"</f>
        <v>16.05.2015</v>
      </c>
      <c r="O872" s="3" t="str">
        <f>"12.673,70"</f>
        <v>12.673,70</v>
      </c>
      <c r="P872" s="2"/>
    </row>
    <row r="873" spans="2:16" ht="63" x14ac:dyDescent="0.25">
      <c r="B873" s="2">
        <v>643</v>
      </c>
      <c r="C873" s="2" t="str">
        <f>"8-15/NOS-83/14"</f>
        <v>8-15/NOS-83/14</v>
      </c>
      <c r="D873" s="2" t="s">
        <v>16</v>
      </c>
      <c r="E873" s="2" t="s">
        <v>1250</v>
      </c>
      <c r="F873" s="2" t="s">
        <v>1273</v>
      </c>
      <c r="G873" s="2" t="str">
        <f>"8-15/NOS-83/14"</f>
        <v>8-15/NOS-83/14</v>
      </c>
      <c r="H873" s="2" t="str">
        <f t="shared" si="20"/>
        <v>Ugovor - narudžbenica (periodični predmet)</v>
      </c>
      <c r="I873" s="2" t="s">
        <v>19</v>
      </c>
      <c r="J873" s="3" t="str">
        <f>"4.119,00"</f>
        <v>4.119,00</v>
      </c>
      <c r="K873" s="2" t="s">
        <v>864</v>
      </c>
      <c r="L873" s="2" t="s">
        <v>326</v>
      </c>
      <c r="M873" s="2" t="s">
        <v>941</v>
      </c>
      <c r="N873" s="2" t="str">
        <f>"17.04.2015"</f>
        <v>17.04.2015</v>
      </c>
      <c r="O873" s="3" t="str">
        <f>"2.999,00"</f>
        <v>2.999,00</v>
      </c>
      <c r="P873" s="4"/>
    </row>
    <row r="874" spans="2:16" ht="63" x14ac:dyDescent="0.25">
      <c r="B874" s="2">
        <v>644</v>
      </c>
      <c r="C874" s="2" t="str">
        <f>"4-15/NOS-205/13"</f>
        <v>4-15/NOS-205/13</v>
      </c>
      <c r="D874" s="2" t="s">
        <v>16</v>
      </c>
      <c r="E874" s="2" t="s">
        <v>1250</v>
      </c>
      <c r="F874" s="2" t="s">
        <v>1290</v>
      </c>
      <c r="G874" s="2" t="str">
        <f>"4-15/NOS-205/13"</f>
        <v>4-15/NOS-205/13</v>
      </c>
      <c r="H874" s="2" t="str">
        <f t="shared" si="20"/>
        <v>Ugovor - narudžbenica (periodični predmet)</v>
      </c>
      <c r="I874" s="2" t="s">
        <v>19</v>
      </c>
      <c r="J874" s="3" t="str">
        <f>"21.796,80"</f>
        <v>21.796,80</v>
      </c>
      <c r="K874" s="2" t="s">
        <v>864</v>
      </c>
      <c r="L874" s="2" t="s">
        <v>307</v>
      </c>
      <c r="M874" s="2" t="s">
        <v>1291</v>
      </c>
      <c r="N874" s="2" t="str">
        <f>"01.06.2015"</f>
        <v>01.06.2015</v>
      </c>
      <c r="O874" s="3" t="str">
        <f>"5.776,80"</f>
        <v>5.776,80</v>
      </c>
      <c r="P874" s="4"/>
    </row>
    <row r="875" spans="2:16" ht="78.75" x14ac:dyDescent="0.25">
      <c r="B875" s="2">
        <v>645</v>
      </c>
      <c r="C875" s="2" t="str">
        <f>"4-15/NOS-218/13"</f>
        <v>4-15/NOS-218/13</v>
      </c>
      <c r="D875" s="2" t="s">
        <v>28</v>
      </c>
      <c r="E875" s="2" t="s">
        <v>1250</v>
      </c>
      <c r="F875" s="2" t="s">
        <v>1270</v>
      </c>
      <c r="G875" s="2" t="str">
        <f>"4-15/NOS-218/13"</f>
        <v>4-15/NOS-218/13</v>
      </c>
      <c r="H875" s="2" t="str">
        <f t="shared" si="20"/>
        <v>Ugovor - narudžbenica (periodični predmet)</v>
      </c>
      <c r="I875" s="2" t="s">
        <v>19</v>
      </c>
      <c r="J875" s="3" t="str">
        <f>"20.957,00"</f>
        <v>20.957,00</v>
      </c>
      <c r="K875" s="2" t="s">
        <v>864</v>
      </c>
      <c r="L875" s="2" t="s">
        <v>326</v>
      </c>
      <c r="M875" s="2" t="s">
        <v>920</v>
      </c>
      <c r="N875" s="2" t="str">
        <f>"04.12.2015"</f>
        <v>04.12.2015</v>
      </c>
      <c r="O875" s="3" t="str">
        <f>"13.783,00"</f>
        <v>13.783,00</v>
      </c>
      <c r="P875" s="4"/>
    </row>
    <row r="876" spans="2:16" ht="63" x14ac:dyDescent="0.25">
      <c r="B876" s="2">
        <v>646</v>
      </c>
      <c r="C876" s="2" t="str">
        <f>"1-15/NOS-183/13"</f>
        <v>1-15/NOS-183/13</v>
      </c>
      <c r="D876" s="2" t="s">
        <v>85</v>
      </c>
      <c r="E876" s="2" t="s">
        <v>1250</v>
      </c>
      <c r="F876" s="2" t="s">
        <v>1292</v>
      </c>
      <c r="G876" s="2" t="str">
        <f>"1-15/NOS-183/13"</f>
        <v>1-15/NOS-183/13</v>
      </c>
      <c r="H876" s="2" t="str">
        <f t="shared" si="20"/>
        <v>Ugovor - narudžbenica (periodični predmet)</v>
      </c>
      <c r="I876" s="2" t="s">
        <v>19</v>
      </c>
      <c r="J876" s="3" t="str">
        <f>"8.269,00"</f>
        <v>8.269,00</v>
      </c>
      <c r="K876" s="2" t="s">
        <v>864</v>
      </c>
      <c r="L876" s="2" t="s">
        <v>326</v>
      </c>
      <c r="M876" s="2" t="s">
        <v>1293</v>
      </c>
      <c r="N876" s="2" t="str">
        <f>"11.05.2015"</f>
        <v>11.05.2015</v>
      </c>
      <c r="O876" s="3" t="str">
        <f>"8.269,00"</f>
        <v>8.269,00</v>
      </c>
      <c r="P876" s="4"/>
    </row>
    <row r="877" spans="2:16" ht="63" x14ac:dyDescent="0.25">
      <c r="B877" s="2">
        <v>647</v>
      </c>
      <c r="C877" s="2" t="str">
        <f>"2-15/NOS-210-A/13"</f>
        <v>2-15/NOS-210-A/13</v>
      </c>
      <c r="D877" s="2" t="s">
        <v>85</v>
      </c>
      <c r="E877" s="2" t="s">
        <v>1250</v>
      </c>
      <c r="F877" s="2" t="s">
        <v>1294</v>
      </c>
      <c r="G877" s="2" t="str">
        <f>"2-15/NOS-210-A/13"</f>
        <v>2-15/NOS-210-A/13</v>
      </c>
      <c r="H877" s="2" t="str">
        <f t="shared" si="20"/>
        <v>Ugovor - narudžbenica (periodični predmet)</v>
      </c>
      <c r="I877" s="2" t="s">
        <v>19</v>
      </c>
      <c r="J877" s="3" t="str">
        <f>"26.819,00"</f>
        <v>26.819,00</v>
      </c>
      <c r="K877" s="2" t="s">
        <v>864</v>
      </c>
      <c r="L877" s="2" t="s">
        <v>326</v>
      </c>
      <c r="M877" s="2" t="s">
        <v>1293</v>
      </c>
      <c r="N877" s="2" t="str">
        <f>"13.08.2015"</f>
        <v>13.08.2015</v>
      </c>
      <c r="O877" s="3" t="str">
        <f>"26.819,00"</f>
        <v>26.819,00</v>
      </c>
      <c r="P877" s="4"/>
    </row>
    <row r="878" spans="2:16" ht="63" x14ac:dyDescent="0.25">
      <c r="B878" s="2">
        <v>648</v>
      </c>
      <c r="C878" s="2" t="str">
        <f>"17-15/NOS-29/12"</f>
        <v>17-15/NOS-29/12</v>
      </c>
      <c r="D878" s="2" t="s">
        <v>85</v>
      </c>
      <c r="E878" s="2" t="s">
        <v>1250</v>
      </c>
      <c r="F878" s="2" t="s">
        <v>1269</v>
      </c>
      <c r="G878" s="2" t="str">
        <f>"17-15/NOS-29/12"</f>
        <v>17-15/NOS-29/12</v>
      </c>
      <c r="H878" s="2" t="str">
        <f t="shared" si="20"/>
        <v>Ugovor - narudžbenica (periodični predmet)</v>
      </c>
      <c r="I878" s="2" t="s">
        <v>19</v>
      </c>
      <c r="J878" s="3" t="str">
        <f>"157.272,38"</f>
        <v>157.272,38</v>
      </c>
      <c r="K878" s="2" t="s">
        <v>864</v>
      </c>
      <c r="L878" s="2" t="s">
        <v>326</v>
      </c>
      <c r="M878" s="2" t="s">
        <v>1295</v>
      </c>
      <c r="N878" s="2" t="str">
        <f>"29.12.2015"</f>
        <v>29.12.2015</v>
      </c>
      <c r="O878" s="3" t="str">
        <f>"143.415,18"</f>
        <v>143.415,18</v>
      </c>
      <c r="P878" s="4"/>
    </row>
    <row r="879" spans="2:16" ht="63" x14ac:dyDescent="0.25">
      <c r="B879" s="2">
        <v>649</v>
      </c>
      <c r="C879" s="2" t="str">
        <f>"16-15/NOS-29/12"</f>
        <v>16-15/NOS-29/12</v>
      </c>
      <c r="D879" s="2" t="s">
        <v>85</v>
      </c>
      <c r="E879" s="2" t="s">
        <v>1250</v>
      </c>
      <c r="F879" s="2" t="s">
        <v>1269</v>
      </c>
      <c r="G879" s="2" t="str">
        <f>"16-15/NOS-29/12"</f>
        <v>16-15/NOS-29/12</v>
      </c>
      <c r="H879" s="2" t="str">
        <f t="shared" si="20"/>
        <v>Ugovor - narudžbenica (periodični predmet)</v>
      </c>
      <c r="I879" s="2" t="s">
        <v>19</v>
      </c>
      <c r="J879" s="3" t="str">
        <f>"99.965,50"</f>
        <v>99.965,50</v>
      </c>
      <c r="K879" s="2" t="s">
        <v>870</v>
      </c>
      <c r="L879" s="2" t="s">
        <v>100</v>
      </c>
      <c r="M879" s="2" t="s">
        <v>250</v>
      </c>
      <c r="N879" s="2" t="str">
        <f>"19.06.2015"</f>
        <v>19.06.2015</v>
      </c>
      <c r="O879" s="3" t="str">
        <f>"95.596,34"</f>
        <v>95.596,34</v>
      </c>
      <c r="P879" s="4"/>
    </row>
    <row r="880" spans="2:16" ht="63" x14ac:dyDescent="0.25">
      <c r="B880" s="2">
        <v>650</v>
      </c>
      <c r="C880" s="2" t="str">
        <f>"1-15/NOS-209/13"</f>
        <v>1-15/NOS-209/13</v>
      </c>
      <c r="D880" s="2" t="s">
        <v>28</v>
      </c>
      <c r="E880" s="2" t="s">
        <v>1250</v>
      </c>
      <c r="F880" s="2" t="s">
        <v>1296</v>
      </c>
      <c r="G880" s="2" t="str">
        <f>"1-15/NOS-209/13"</f>
        <v>1-15/NOS-209/13</v>
      </c>
      <c r="H880" s="2" t="str">
        <f t="shared" si="20"/>
        <v>Ugovor - narudžbenica (periodični predmet)</v>
      </c>
      <c r="I880" s="2" t="s">
        <v>19</v>
      </c>
      <c r="J880" s="3" t="str">
        <f>"6.316,56"</f>
        <v>6.316,56</v>
      </c>
      <c r="K880" s="2" t="s">
        <v>296</v>
      </c>
      <c r="L880" s="2" t="s">
        <v>199</v>
      </c>
      <c r="M880" s="2" t="s">
        <v>111</v>
      </c>
      <c r="N880" s="2" t="str">
        <f>"08.07.2015"</f>
        <v>08.07.2015</v>
      </c>
      <c r="O880" s="3" t="str">
        <f>"6.277,50"</f>
        <v>6.277,50</v>
      </c>
      <c r="P880" s="4"/>
    </row>
    <row r="881" spans="2:16" ht="63" x14ac:dyDescent="0.25">
      <c r="B881" s="2">
        <v>651</v>
      </c>
      <c r="C881" s="2" t="str">
        <f>"3-15/NOS-108/14"</f>
        <v>3-15/NOS-108/14</v>
      </c>
      <c r="D881" s="2" t="s">
        <v>16</v>
      </c>
      <c r="E881" s="2" t="s">
        <v>1250</v>
      </c>
      <c r="F881" s="2" t="s">
        <v>41</v>
      </c>
      <c r="G881" s="2" t="str">
        <f>"3-15/NOS-108/14"</f>
        <v>3-15/NOS-108/14</v>
      </c>
      <c r="H881" s="2" t="str">
        <f t="shared" si="20"/>
        <v>Ugovor - narudžbenica (periodični predmet)</v>
      </c>
      <c r="I881" s="2" t="s">
        <v>19</v>
      </c>
      <c r="J881" s="3" t="str">
        <f>"235.273,90"</f>
        <v>235.273,90</v>
      </c>
      <c r="K881" s="2" t="s">
        <v>296</v>
      </c>
      <c r="L881" s="2" t="s">
        <v>1297</v>
      </c>
      <c r="M881" s="2" t="s">
        <v>45</v>
      </c>
      <c r="N881" s="2" t="str">
        <f>"30.06.2015"</f>
        <v>30.06.2015</v>
      </c>
      <c r="O881" s="3" t="str">
        <f>"213.986,90"</f>
        <v>213.986,90</v>
      </c>
      <c r="P881" s="4"/>
    </row>
    <row r="882" spans="2:16" ht="63" x14ac:dyDescent="0.25">
      <c r="B882" s="2">
        <v>652</v>
      </c>
      <c r="C882" s="2" t="str">
        <f>"3-15/NOS-90/14"</f>
        <v>3-15/NOS-90/14</v>
      </c>
      <c r="D882" s="2" t="s">
        <v>16</v>
      </c>
      <c r="E882" s="2" t="s">
        <v>1250</v>
      </c>
      <c r="F882" s="2" t="s">
        <v>1274</v>
      </c>
      <c r="G882" s="2" t="str">
        <f>"3-15/NOS-90/14"</f>
        <v>3-15/NOS-90/14</v>
      </c>
      <c r="H882" s="2" t="str">
        <f t="shared" si="20"/>
        <v>Ugovor - narudžbenica (periodični predmet)</v>
      </c>
      <c r="I882" s="2" t="s">
        <v>19</v>
      </c>
      <c r="J882" s="3" t="str">
        <f>"261.386,00"</f>
        <v>261.386,00</v>
      </c>
      <c r="K882" s="2" t="s">
        <v>296</v>
      </c>
      <c r="L882" s="2" t="s">
        <v>199</v>
      </c>
      <c r="M882" s="2" t="s">
        <v>419</v>
      </c>
      <c r="N882" s="2" t="str">
        <f>"19.10.2015"</f>
        <v>19.10.2015</v>
      </c>
      <c r="O882" s="3" t="str">
        <f>"214.598,88"</f>
        <v>214.598,88</v>
      </c>
      <c r="P882" s="2"/>
    </row>
    <row r="883" spans="2:16" ht="63" x14ac:dyDescent="0.25">
      <c r="B883" s="2">
        <v>653</v>
      </c>
      <c r="C883" s="2" t="str">
        <f>"9-15/NOS-83/14"</f>
        <v>9-15/NOS-83/14</v>
      </c>
      <c r="D883" s="2" t="s">
        <v>16</v>
      </c>
      <c r="E883" s="2" t="s">
        <v>1250</v>
      </c>
      <c r="F883" s="2" t="s">
        <v>1273</v>
      </c>
      <c r="G883" s="2" t="str">
        <f>"9-15/NOS-83/14"</f>
        <v>9-15/NOS-83/14</v>
      </c>
      <c r="H883" s="2" t="str">
        <f t="shared" si="20"/>
        <v>Ugovor - narudžbenica (periodični predmet)</v>
      </c>
      <c r="I883" s="2" t="s">
        <v>19</v>
      </c>
      <c r="J883" s="3" t="str">
        <f>"13.342,00"</f>
        <v>13.342,00</v>
      </c>
      <c r="K883" s="2" t="s">
        <v>296</v>
      </c>
      <c r="L883" s="2" t="s">
        <v>199</v>
      </c>
      <c r="M883" s="2" t="s">
        <v>754</v>
      </c>
      <c r="N883" s="2" t="str">
        <f>"14.07.2015"</f>
        <v>14.07.2015</v>
      </c>
      <c r="O883" s="3" t="str">
        <f>"13.342,00"</f>
        <v>13.342,00</v>
      </c>
      <c r="P883" s="4"/>
    </row>
    <row r="884" spans="2:16" ht="63" x14ac:dyDescent="0.25">
      <c r="B884" s="2">
        <v>654</v>
      </c>
      <c r="C884" s="2" t="str">
        <f>"6-15/NOS-47/14"</f>
        <v>6-15/NOS-47/14</v>
      </c>
      <c r="D884" s="2" t="s">
        <v>16</v>
      </c>
      <c r="E884" s="2" t="s">
        <v>1250</v>
      </c>
      <c r="F884" s="2" t="s">
        <v>1298</v>
      </c>
      <c r="G884" s="2" t="str">
        <f>"6-15/NOS-47/14"</f>
        <v>6-15/NOS-47/14</v>
      </c>
      <c r="H884" s="2" t="str">
        <f t="shared" si="20"/>
        <v>Ugovor - narudžbenica (periodični predmet)</v>
      </c>
      <c r="I884" s="2" t="s">
        <v>19</v>
      </c>
      <c r="J884" s="3" t="str">
        <f>"21.764,40"</f>
        <v>21.764,40</v>
      </c>
      <c r="K884" s="2" t="s">
        <v>296</v>
      </c>
      <c r="L884" s="2" t="s">
        <v>199</v>
      </c>
      <c r="M884" s="2" t="s">
        <v>960</v>
      </c>
      <c r="N884" s="2" t="str">
        <f>"30.04.2015"</f>
        <v>30.04.2015</v>
      </c>
      <c r="O884" s="3" t="str">
        <f>"21.014,40"</f>
        <v>21.014,40</v>
      </c>
      <c r="P884" s="4"/>
    </row>
    <row r="885" spans="2:16" ht="63" x14ac:dyDescent="0.25">
      <c r="B885" s="2">
        <v>655</v>
      </c>
      <c r="C885" s="2" t="str">
        <f>"3-15/NOS-35/14"</f>
        <v>3-15/NOS-35/14</v>
      </c>
      <c r="D885" s="2" t="s">
        <v>16</v>
      </c>
      <c r="E885" s="2" t="s">
        <v>1250</v>
      </c>
      <c r="F885" s="2" t="s">
        <v>1281</v>
      </c>
      <c r="G885" s="2" t="str">
        <f>"3-15/NOS-35/14"</f>
        <v>3-15/NOS-35/14</v>
      </c>
      <c r="H885" s="2" t="str">
        <f t="shared" si="20"/>
        <v>Ugovor - narudžbenica (periodični predmet)</v>
      </c>
      <c r="I885" s="2" t="s">
        <v>19</v>
      </c>
      <c r="J885" s="3" t="str">
        <f>"4.330,00"</f>
        <v>4.330,00</v>
      </c>
      <c r="K885" s="2" t="s">
        <v>296</v>
      </c>
      <c r="L885" s="2" t="s">
        <v>199</v>
      </c>
      <c r="M885" s="2" t="s">
        <v>1282</v>
      </c>
      <c r="N885" s="2" t="str">
        <f>"29.05.2015"</f>
        <v>29.05.2015</v>
      </c>
      <c r="O885" s="3" t="str">
        <f>"4.330,00"</f>
        <v>4.330,00</v>
      </c>
      <c r="P885" s="4"/>
    </row>
    <row r="886" spans="2:16" ht="63" x14ac:dyDescent="0.25">
      <c r="B886" s="2">
        <v>656</v>
      </c>
      <c r="C886" s="2" t="str">
        <f>"16-15/NOS-89/14"</f>
        <v>16-15/NOS-89/14</v>
      </c>
      <c r="D886" s="2" t="s">
        <v>28</v>
      </c>
      <c r="E886" s="2" t="s">
        <v>1250</v>
      </c>
      <c r="F886" s="2" t="s">
        <v>1277</v>
      </c>
      <c r="G886" s="2" t="str">
        <f>"16-15/NOS-89/14"</f>
        <v>16-15/NOS-89/14</v>
      </c>
      <c r="H886" s="2" t="str">
        <f t="shared" si="20"/>
        <v>Ugovor - narudžbenica (periodični predmet)</v>
      </c>
      <c r="I886" s="2" t="s">
        <v>19</v>
      </c>
      <c r="J886" s="3" t="str">
        <f>"7.870,87"</f>
        <v>7.870,87</v>
      </c>
      <c r="K886" s="2" t="s">
        <v>900</v>
      </c>
      <c r="L886" s="2" t="s">
        <v>199</v>
      </c>
      <c r="M886" s="2" t="s">
        <v>868</v>
      </c>
      <c r="N886" s="2" t="str">
        <f>"09.06.2015"</f>
        <v>09.06.2015</v>
      </c>
      <c r="O886" s="3" t="str">
        <f>"7.599,02"</f>
        <v>7.599,02</v>
      </c>
      <c r="P886" s="4"/>
    </row>
    <row r="887" spans="2:16" ht="63" x14ac:dyDescent="0.25">
      <c r="B887" s="2">
        <v>657</v>
      </c>
      <c r="C887" s="2" t="str">
        <f>"4-15/NOS-108/14"</f>
        <v>4-15/NOS-108/14</v>
      </c>
      <c r="D887" s="2" t="s">
        <v>16</v>
      </c>
      <c r="E887" s="2" t="s">
        <v>1250</v>
      </c>
      <c r="F887" s="2" t="s">
        <v>41</v>
      </c>
      <c r="G887" s="2" t="str">
        <f>"4-15/NOS-108/14"</f>
        <v>4-15/NOS-108/14</v>
      </c>
      <c r="H887" s="2" t="str">
        <f t="shared" si="20"/>
        <v>Ugovor - narudžbenica (periodični predmet)</v>
      </c>
      <c r="I887" s="2" t="s">
        <v>19</v>
      </c>
      <c r="J887" s="3" t="str">
        <f>"139.557,00"</f>
        <v>139.557,00</v>
      </c>
      <c r="K887" s="2" t="s">
        <v>900</v>
      </c>
      <c r="L887" s="2" t="s">
        <v>82</v>
      </c>
      <c r="M887" s="2" t="s">
        <v>46</v>
      </c>
      <c r="N887" s="2" t="str">
        <f>"14.09.2015"</f>
        <v>14.09.2015</v>
      </c>
      <c r="O887" s="3" t="str">
        <f>"139.557,00"</f>
        <v>139.557,00</v>
      </c>
      <c r="P887" s="4"/>
    </row>
    <row r="888" spans="2:16" ht="63" x14ac:dyDescent="0.25">
      <c r="B888" s="2">
        <v>658</v>
      </c>
      <c r="C888" s="2" t="str">
        <f>"18-15/NOS-29/12"</f>
        <v>18-15/NOS-29/12</v>
      </c>
      <c r="D888" s="2" t="s">
        <v>85</v>
      </c>
      <c r="E888" s="2" t="s">
        <v>1250</v>
      </c>
      <c r="F888" s="2" t="s">
        <v>1269</v>
      </c>
      <c r="G888" s="2" t="str">
        <f>"18-15/NOS-29/12"</f>
        <v>18-15/NOS-29/12</v>
      </c>
      <c r="H888" s="2" t="str">
        <f t="shared" si="20"/>
        <v>Ugovor - narudžbenica (periodični predmet)</v>
      </c>
      <c r="I888" s="2" t="s">
        <v>19</v>
      </c>
      <c r="J888" s="3" t="str">
        <f>"51.438,20"</f>
        <v>51.438,20</v>
      </c>
      <c r="K888" s="2" t="s">
        <v>900</v>
      </c>
      <c r="L888" s="2" t="s">
        <v>408</v>
      </c>
      <c r="M888" s="2" t="s">
        <v>1201</v>
      </c>
      <c r="N888" s="2" t="str">
        <f>"02.10.2015"</f>
        <v>02.10.2015</v>
      </c>
      <c r="O888" s="3" t="str">
        <f>"51.438,20"</f>
        <v>51.438,20</v>
      </c>
      <c r="P888" s="4"/>
    </row>
    <row r="889" spans="2:16" ht="109.5" customHeight="1" x14ac:dyDescent="0.25">
      <c r="B889" s="2">
        <v>659</v>
      </c>
      <c r="C889" s="2" t="str">
        <f>"47-15/NOS-11-ZGH/14"</f>
        <v>47-15/NOS-11-ZGH/14</v>
      </c>
      <c r="D889" s="2" t="s">
        <v>214</v>
      </c>
      <c r="E889" s="2" t="s">
        <v>1250</v>
      </c>
      <c r="F889" s="2" t="s">
        <v>1278</v>
      </c>
      <c r="G889" s="2" t="str">
        <f>"47-15/NOS-11-ZGH/14"</f>
        <v>47-15/NOS-11-ZGH/14</v>
      </c>
      <c r="H889" s="2" t="str">
        <f t="shared" si="20"/>
        <v>Ugovor - narudžbenica (periodični predmet)</v>
      </c>
      <c r="I889" s="2" t="s">
        <v>19</v>
      </c>
      <c r="J889" s="3" t="str">
        <f>"137.903,06"</f>
        <v>137.903,06</v>
      </c>
      <c r="K889" s="2" t="s">
        <v>900</v>
      </c>
      <c r="L889" s="2" t="s">
        <v>1297</v>
      </c>
      <c r="M889" s="2" t="s">
        <v>711</v>
      </c>
      <c r="N889" s="2" t="str">
        <f>"16.07.2015"</f>
        <v>16.07.2015</v>
      </c>
      <c r="O889" s="3" t="str">
        <f>"123.701,81"</f>
        <v>123.701,81</v>
      </c>
      <c r="P889" s="2"/>
    </row>
    <row r="890" spans="2:16" ht="63" x14ac:dyDescent="0.25">
      <c r="B890" s="12">
        <v>660</v>
      </c>
      <c r="C890" s="12" t="str">
        <f>"8-15/NOS-47/14"</f>
        <v>8-15/NOS-47/14</v>
      </c>
      <c r="D890" s="12" t="s">
        <v>16</v>
      </c>
      <c r="E890" s="12" t="s">
        <v>1250</v>
      </c>
      <c r="F890" s="12" t="s">
        <v>1298</v>
      </c>
      <c r="G890" s="12" t="str">
        <f>"8-15/NOS-47/14"</f>
        <v>8-15/NOS-47/14</v>
      </c>
      <c r="H890" s="12" t="str">
        <f t="shared" si="20"/>
        <v>Ugovor - narudžbenica (periodični predmet)</v>
      </c>
      <c r="I890" s="12" t="s">
        <v>19</v>
      </c>
      <c r="J890" s="13" t="str">
        <f>"23.260,90"</f>
        <v>23.260,90</v>
      </c>
      <c r="K890" s="12" t="s">
        <v>326</v>
      </c>
      <c r="L890" s="12" t="s">
        <v>252</v>
      </c>
      <c r="M890" s="12" t="s">
        <v>960</v>
      </c>
      <c r="N890" s="12" t="str">
        <f>"29.05.2015"</f>
        <v>29.05.2015</v>
      </c>
      <c r="O890" s="13" t="str">
        <f>"23.260,90"</f>
        <v>23.260,90</v>
      </c>
      <c r="P890" s="12"/>
    </row>
    <row r="891" spans="2:16" s="19" customFormat="1" ht="63" x14ac:dyDescent="0.25">
      <c r="B891" s="16">
        <v>661</v>
      </c>
      <c r="C891" s="16" t="str">
        <f>"25-15/NOS-53-ZGH/14"</f>
        <v>25-15/NOS-53-ZGH/14</v>
      </c>
      <c r="D891" s="16" t="s">
        <v>242</v>
      </c>
      <c r="E891" s="16" t="s">
        <v>1250</v>
      </c>
      <c r="F891" s="16" t="s">
        <v>1272</v>
      </c>
      <c r="G891" s="16" t="str">
        <f>"25-15/NOS-53-ZGH/14"</f>
        <v>25-15/NOS-53-ZGH/14</v>
      </c>
      <c r="H891" s="16" t="str">
        <f t="shared" si="20"/>
        <v>Ugovor - narudžbenica (periodični predmet)</v>
      </c>
      <c r="I891" s="16" t="s">
        <v>19</v>
      </c>
      <c r="J891" s="17" t="str">
        <f>"20.599,75"</f>
        <v>20.599,75</v>
      </c>
      <c r="K891" s="16" t="s">
        <v>326</v>
      </c>
      <c r="L891" s="16" t="s">
        <v>252</v>
      </c>
      <c r="M891" s="16" t="s">
        <v>1097</v>
      </c>
      <c r="N891" s="16" t="str">
        <f>"07.07.2015"</f>
        <v>07.07.2015</v>
      </c>
      <c r="O891" s="17" t="str">
        <f>"22.502,25"</f>
        <v>22.502,25</v>
      </c>
      <c r="P891" s="16" t="s">
        <v>698</v>
      </c>
    </row>
    <row r="892" spans="2:16" ht="63" x14ac:dyDescent="0.25">
      <c r="B892" s="2">
        <v>662</v>
      </c>
      <c r="C892" s="2" t="str">
        <f>"6-15/NOS-205/13"</f>
        <v>6-15/NOS-205/13</v>
      </c>
      <c r="D892" s="2" t="s">
        <v>16</v>
      </c>
      <c r="E892" s="2" t="s">
        <v>1250</v>
      </c>
      <c r="F892" s="2" t="s">
        <v>1290</v>
      </c>
      <c r="G892" s="2" t="str">
        <f>"6-15/NOS-205/13"</f>
        <v>6-15/NOS-205/13</v>
      </c>
      <c r="H892" s="2" t="str">
        <f t="shared" si="20"/>
        <v>Ugovor - narudžbenica (periodični predmet)</v>
      </c>
      <c r="I892" s="2" t="s">
        <v>19</v>
      </c>
      <c r="J892" s="3" t="str">
        <f>"1.932,00"</f>
        <v>1.932,00</v>
      </c>
      <c r="K892" s="2" t="s">
        <v>326</v>
      </c>
      <c r="L892" s="2" t="s">
        <v>82</v>
      </c>
      <c r="M892" s="2" t="s">
        <v>1291</v>
      </c>
      <c r="N892" s="2" t="str">
        <f>"26.05.2015"</f>
        <v>26.05.2015</v>
      </c>
      <c r="O892" s="3" t="str">
        <f>"1.820,16"</f>
        <v>1.820,16</v>
      </c>
      <c r="P892" s="4"/>
    </row>
    <row r="893" spans="2:16" ht="63" x14ac:dyDescent="0.25">
      <c r="B893" s="2">
        <v>663</v>
      </c>
      <c r="C893" s="2" t="str">
        <f>"10-15/NOS-97/14"</f>
        <v>10-15/NOS-97/14</v>
      </c>
      <c r="D893" s="2" t="s">
        <v>28</v>
      </c>
      <c r="E893" s="2" t="s">
        <v>1250</v>
      </c>
      <c r="F893" s="2" t="s">
        <v>1285</v>
      </c>
      <c r="G893" s="2" t="str">
        <f>"10-15/NOS-97/14"</f>
        <v>10-15/NOS-97/14</v>
      </c>
      <c r="H893" s="2" t="str">
        <f t="shared" si="20"/>
        <v>Ugovor - narudžbenica (periodični predmet)</v>
      </c>
      <c r="I893" s="2" t="s">
        <v>19</v>
      </c>
      <c r="J893" s="3" t="str">
        <f>"98.358,65"</f>
        <v>98.358,65</v>
      </c>
      <c r="K893" s="2" t="s">
        <v>915</v>
      </c>
      <c r="L893" s="2" t="s">
        <v>199</v>
      </c>
      <c r="M893" s="2" t="s">
        <v>44</v>
      </c>
      <c r="N893" s="2" t="str">
        <f>"09.07.2015"</f>
        <v>09.07.2015</v>
      </c>
      <c r="O893" s="3" t="str">
        <f>"98.151,03"</f>
        <v>98.151,03</v>
      </c>
      <c r="P893" s="4"/>
    </row>
    <row r="894" spans="2:16" ht="63" x14ac:dyDescent="0.25">
      <c r="B894" s="2">
        <v>664</v>
      </c>
      <c r="C894" s="2" t="str">
        <f>"4-15/NOS-47/14"</f>
        <v>4-15/NOS-47/14</v>
      </c>
      <c r="D894" s="2" t="s">
        <v>16</v>
      </c>
      <c r="E894" s="2" t="s">
        <v>1250</v>
      </c>
      <c r="F894" s="2" t="s">
        <v>1298</v>
      </c>
      <c r="G894" s="2" t="str">
        <f>"4-15/NOS-47/14"</f>
        <v>4-15/NOS-47/14</v>
      </c>
      <c r="H894" s="2" t="str">
        <f t="shared" si="20"/>
        <v>Ugovor - narudžbenica (periodični predmet)</v>
      </c>
      <c r="I894" s="2" t="s">
        <v>19</v>
      </c>
      <c r="J894" s="3" t="str">
        <f>"48.433,74"</f>
        <v>48.433,74</v>
      </c>
      <c r="K894" s="2" t="s">
        <v>100</v>
      </c>
      <c r="L894" s="2" t="s">
        <v>136</v>
      </c>
      <c r="M894" s="2" t="s">
        <v>960</v>
      </c>
      <c r="N894" s="2" t="str">
        <f>"14.08.2015"</f>
        <v>14.08.2015</v>
      </c>
      <c r="O894" s="3" t="str">
        <f>"48.316,17"</f>
        <v>48.316,17</v>
      </c>
      <c r="P894" s="4"/>
    </row>
    <row r="895" spans="2:16" ht="63" x14ac:dyDescent="0.25">
      <c r="B895" s="2">
        <v>665</v>
      </c>
      <c r="C895" s="2" t="str">
        <f>"4-15/NOS-24-ZGH/14"</f>
        <v>4-15/NOS-24-ZGH/14</v>
      </c>
      <c r="D895" s="2" t="s">
        <v>28</v>
      </c>
      <c r="E895" s="2" t="s">
        <v>1250</v>
      </c>
      <c r="F895" s="2" t="s">
        <v>1276</v>
      </c>
      <c r="G895" s="2" t="str">
        <f>"4-15/NOS-24-ZGH/14"</f>
        <v>4-15/NOS-24-ZGH/14</v>
      </c>
      <c r="H895" s="2" t="str">
        <f t="shared" si="20"/>
        <v>Ugovor - narudžbenica (periodični predmet)</v>
      </c>
      <c r="I895" s="2" t="s">
        <v>19</v>
      </c>
      <c r="J895" s="3" t="str">
        <f>"1.757,52"</f>
        <v>1.757,52</v>
      </c>
      <c r="K895" s="2" t="s">
        <v>100</v>
      </c>
      <c r="L895" s="2" t="s">
        <v>252</v>
      </c>
      <c r="M895" s="2" t="s">
        <v>836</v>
      </c>
      <c r="N895" s="2" t="str">
        <f>"03.06.2015"</f>
        <v>03.06.2015</v>
      </c>
      <c r="O895" s="3" t="str">
        <f>"1.757,52"</f>
        <v>1.757,52</v>
      </c>
      <c r="P895" s="4"/>
    </row>
    <row r="896" spans="2:16" ht="63" x14ac:dyDescent="0.25">
      <c r="B896" s="2">
        <v>666</v>
      </c>
      <c r="C896" s="2" t="str">
        <f>"6-15/NOS-56/14"</f>
        <v>6-15/NOS-56/14</v>
      </c>
      <c r="D896" s="2" t="s">
        <v>85</v>
      </c>
      <c r="E896" s="2" t="s">
        <v>1250</v>
      </c>
      <c r="F896" s="2" t="s">
        <v>1286</v>
      </c>
      <c r="G896" s="2" t="str">
        <f>"6-15/NOS-56/14"</f>
        <v>6-15/NOS-56/14</v>
      </c>
      <c r="H896" s="2" t="str">
        <f t="shared" si="20"/>
        <v>Ugovor - narudžbenica (periodični predmet)</v>
      </c>
      <c r="I896" s="2" t="s">
        <v>19</v>
      </c>
      <c r="J896" s="3" t="str">
        <f>"292,50"</f>
        <v>292,50</v>
      </c>
      <c r="K896" s="2" t="s">
        <v>100</v>
      </c>
      <c r="L896" s="2" t="s">
        <v>252</v>
      </c>
      <c r="M896" s="2" t="s">
        <v>715</v>
      </c>
      <c r="N896" s="2" t="str">
        <f>"01.06.2015"</f>
        <v>01.06.2015</v>
      </c>
      <c r="O896" s="3" t="str">
        <f>"292,50"</f>
        <v>292,50</v>
      </c>
      <c r="P896" s="4"/>
    </row>
    <row r="897" spans="2:16" ht="63" x14ac:dyDescent="0.25">
      <c r="B897" s="2">
        <v>667</v>
      </c>
      <c r="C897" s="2" t="str">
        <f>"10-15/NOS-83/14"</f>
        <v>10-15/NOS-83/14</v>
      </c>
      <c r="D897" s="2" t="s">
        <v>28</v>
      </c>
      <c r="E897" s="2" t="s">
        <v>1250</v>
      </c>
      <c r="F897" s="2" t="s">
        <v>1273</v>
      </c>
      <c r="G897" s="2" t="str">
        <f>"10-15/NOS-83/14"</f>
        <v>10-15/NOS-83/14</v>
      </c>
      <c r="H897" s="2" t="str">
        <f t="shared" si="20"/>
        <v>Ugovor - narudžbenica (periodični predmet)</v>
      </c>
      <c r="I897" s="2" t="s">
        <v>19</v>
      </c>
      <c r="J897" s="3" t="str">
        <f>"24.120,00"</f>
        <v>24.120,00</v>
      </c>
      <c r="K897" s="2" t="s">
        <v>100</v>
      </c>
      <c r="L897" s="2" t="s">
        <v>252</v>
      </c>
      <c r="M897" s="2" t="s">
        <v>754</v>
      </c>
      <c r="N897" s="2" t="str">
        <f>"01.09.2015"</f>
        <v>01.09.2015</v>
      </c>
      <c r="O897" s="3" t="str">
        <f>"24.120,00"</f>
        <v>24.120,00</v>
      </c>
      <c r="P897" s="4"/>
    </row>
    <row r="898" spans="2:16" ht="63" x14ac:dyDescent="0.25">
      <c r="B898" s="2">
        <v>668</v>
      </c>
      <c r="C898" s="2" t="str">
        <f>"18-15/NOS-89/14"</f>
        <v>18-15/NOS-89/14</v>
      </c>
      <c r="D898" s="2" t="s">
        <v>188</v>
      </c>
      <c r="E898" s="2" t="s">
        <v>1250</v>
      </c>
      <c r="F898" s="2" t="s">
        <v>1277</v>
      </c>
      <c r="G898" s="2" t="str">
        <f>"18-15/NOS-89/14"</f>
        <v>18-15/NOS-89/14</v>
      </c>
      <c r="H898" s="2" t="str">
        <f t="shared" si="20"/>
        <v>Ugovor - narudžbenica (periodični predmet)</v>
      </c>
      <c r="I898" s="2" t="s">
        <v>19</v>
      </c>
      <c r="J898" s="3" t="str">
        <f>"16.956,96"</f>
        <v>16.956,96</v>
      </c>
      <c r="K898" s="2" t="s">
        <v>100</v>
      </c>
      <c r="L898" s="2" t="s">
        <v>252</v>
      </c>
      <c r="M898" s="2" t="s">
        <v>868</v>
      </c>
      <c r="N898" s="2" t="str">
        <f>"18.06.2015"</f>
        <v>18.06.2015</v>
      </c>
      <c r="O898" s="3" t="str">
        <f>"16.639,68"</f>
        <v>16.639,68</v>
      </c>
      <c r="P898" s="4"/>
    </row>
    <row r="899" spans="2:16" ht="63" x14ac:dyDescent="0.25">
      <c r="B899" s="2">
        <v>669</v>
      </c>
      <c r="C899" s="2" t="str">
        <f>"4-15/NOS-90/14"</f>
        <v>4-15/NOS-90/14</v>
      </c>
      <c r="D899" s="2" t="s">
        <v>16</v>
      </c>
      <c r="E899" s="2" t="s">
        <v>1250</v>
      </c>
      <c r="F899" s="2" t="s">
        <v>1274</v>
      </c>
      <c r="G899" s="2" t="str">
        <f>"4-15/NOS-90/14"</f>
        <v>4-15/NOS-90/14</v>
      </c>
      <c r="H899" s="2" t="str">
        <f t="shared" si="20"/>
        <v>Ugovor - narudžbenica (periodični predmet)</v>
      </c>
      <c r="I899" s="2" t="s">
        <v>19</v>
      </c>
      <c r="J899" s="3" t="str">
        <f>"13.615,24"</f>
        <v>13.615,24</v>
      </c>
      <c r="K899" s="2" t="s">
        <v>100</v>
      </c>
      <c r="L899" s="2" t="s">
        <v>252</v>
      </c>
      <c r="M899" s="2" t="s">
        <v>419</v>
      </c>
      <c r="N899" s="2" t="str">
        <f>"19.05.2015"</f>
        <v>19.05.2015</v>
      </c>
      <c r="O899" s="3" t="str">
        <f>"5.760,24"</f>
        <v>5.760,24</v>
      </c>
      <c r="P899" s="4"/>
    </row>
    <row r="900" spans="2:16" ht="63" x14ac:dyDescent="0.25">
      <c r="B900" s="2">
        <v>670</v>
      </c>
      <c r="C900" s="2" t="str">
        <f>"2-15/NOS-99/14"</f>
        <v>2-15/NOS-99/14</v>
      </c>
      <c r="D900" s="2" t="s">
        <v>16</v>
      </c>
      <c r="E900" s="2" t="s">
        <v>1250</v>
      </c>
      <c r="F900" s="2" t="s">
        <v>31</v>
      </c>
      <c r="G900" s="2" t="str">
        <f>"2-15/NOS-99/14"</f>
        <v>2-15/NOS-99/14</v>
      </c>
      <c r="H900" s="2" t="str">
        <f t="shared" si="20"/>
        <v>Ugovor - narudžbenica (periodični predmet)</v>
      </c>
      <c r="I900" s="2" t="s">
        <v>19</v>
      </c>
      <c r="J900" s="3" t="str">
        <f>"1.125,00"</f>
        <v>1.125,00</v>
      </c>
      <c r="K900" s="2" t="s">
        <v>100</v>
      </c>
      <c r="L900" s="2" t="s">
        <v>252</v>
      </c>
      <c r="M900" s="2" t="s">
        <v>34</v>
      </c>
      <c r="N900" s="2" t="str">
        <f>"09.06.2015"</f>
        <v>09.06.2015</v>
      </c>
      <c r="O900" s="3" t="str">
        <f>"1.125,00"</f>
        <v>1.125,00</v>
      </c>
      <c r="P900" s="4"/>
    </row>
    <row r="901" spans="2:16" ht="63" x14ac:dyDescent="0.25">
      <c r="B901" s="2">
        <v>671</v>
      </c>
      <c r="C901" s="2" t="str">
        <f>"19-15/NOS-29/12"</f>
        <v>19-15/NOS-29/12</v>
      </c>
      <c r="D901" s="2" t="s">
        <v>85</v>
      </c>
      <c r="E901" s="2" t="s">
        <v>1250</v>
      </c>
      <c r="F901" s="2" t="s">
        <v>1269</v>
      </c>
      <c r="G901" s="2" t="str">
        <f>"19-15/NOS-29/12"</f>
        <v>19-15/NOS-29/12</v>
      </c>
      <c r="H901" s="2" t="str">
        <f t="shared" si="20"/>
        <v>Ugovor - narudžbenica (periodični predmet)</v>
      </c>
      <c r="I901" s="2" t="s">
        <v>19</v>
      </c>
      <c r="J901" s="3" t="str">
        <f>"46.099,00"</f>
        <v>46.099,00</v>
      </c>
      <c r="K901" s="2" t="s">
        <v>100</v>
      </c>
      <c r="L901" s="2" t="s">
        <v>59</v>
      </c>
      <c r="M901" s="2" t="s">
        <v>1299</v>
      </c>
      <c r="N901" s="2" t="str">
        <f>"10.06.2015"</f>
        <v>10.06.2015</v>
      </c>
      <c r="O901" s="3" t="str">
        <f>"31.136,00"</f>
        <v>31.136,00</v>
      </c>
      <c r="P901" s="4"/>
    </row>
    <row r="902" spans="2:16" ht="63" x14ac:dyDescent="0.25">
      <c r="B902" s="2">
        <v>672</v>
      </c>
      <c r="C902" s="2" t="str">
        <f>"2-15/NOS-209/13"</f>
        <v>2-15/NOS-209/13</v>
      </c>
      <c r="D902" s="2" t="s">
        <v>85</v>
      </c>
      <c r="E902" s="2" t="s">
        <v>1250</v>
      </c>
      <c r="F902" s="2" t="s">
        <v>1296</v>
      </c>
      <c r="G902" s="2" t="str">
        <f>"2-15/NOS-209/13"</f>
        <v>2-15/NOS-209/13</v>
      </c>
      <c r="H902" s="2" t="str">
        <f t="shared" si="20"/>
        <v>Ugovor - narudžbenica (periodični predmet)</v>
      </c>
      <c r="I902" s="2" t="s">
        <v>19</v>
      </c>
      <c r="J902" s="3" t="str">
        <f>"1.848,00"</f>
        <v>1.848,00</v>
      </c>
      <c r="K902" s="2" t="s">
        <v>71</v>
      </c>
      <c r="L902" s="2" t="s">
        <v>252</v>
      </c>
      <c r="M902" s="2" t="s">
        <v>111</v>
      </c>
      <c r="N902" s="2" t="str">
        <f>"01.06.2015"</f>
        <v>01.06.2015</v>
      </c>
      <c r="O902" s="3" t="str">
        <f>"1.848,00"</f>
        <v>1.848,00</v>
      </c>
      <c r="P902" s="4"/>
    </row>
    <row r="903" spans="2:16" ht="63" x14ac:dyDescent="0.25">
      <c r="B903" s="2">
        <v>673</v>
      </c>
      <c r="C903" s="2" t="str">
        <f>"1-15/NOS-118/14"</f>
        <v>1-15/NOS-118/14</v>
      </c>
      <c r="D903" s="2" t="s">
        <v>28</v>
      </c>
      <c r="E903" s="2" t="s">
        <v>1250</v>
      </c>
      <c r="F903" s="2" t="s">
        <v>86</v>
      </c>
      <c r="G903" s="2" t="str">
        <f>"1-15/NOS-118/14"</f>
        <v>1-15/NOS-118/14</v>
      </c>
      <c r="H903" s="2" t="str">
        <f t="shared" si="20"/>
        <v>Ugovor - narudžbenica (periodični predmet)</v>
      </c>
      <c r="I903" s="2" t="s">
        <v>19</v>
      </c>
      <c r="J903" s="3" t="str">
        <f>"919.850,00"</f>
        <v>919.850,00</v>
      </c>
      <c r="K903" s="2" t="s">
        <v>71</v>
      </c>
      <c r="L903" s="2" t="s">
        <v>1300</v>
      </c>
      <c r="M903" s="2" t="s">
        <v>89</v>
      </c>
      <c r="N903" s="2" t="str">
        <f>"21.07.2015"</f>
        <v>21.07.2015</v>
      </c>
      <c r="O903" s="3" t="str">
        <f>"916.810,00"</f>
        <v>916.810,00</v>
      </c>
      <c r="P903" s="4"/>
    </row>
    <row r="904" spans="2:16" s="19" customFormat="1" ht="47.25" x14ac:dyDescent="0.25">
      <c r="B904" s="44">
        <v>674</v>
      </c>
      <c r="C904" s="44" t="str">
        <f>"12-15/NOS-97/14"</f>
        <v>12-15/NOS-97/14</v>
      </c>
      <c r="D904" s="44" t="s">
        <v>16</v>
      </c>
      <c r="E904" s="44" t="s">
        <v>1250</v>
      </c>
      <c r="F904" s="44" t="s">
        <v>1285</v>
      </c>
      <c r="G904" s="44" t="str">
        <f>"12-15/NOS-97/14"</f>
        <v>12-15/NOS-97/14</v>
      </c>
      <c r="H904" s="44" t="str">
        <f t="shared" si="20"/>
        <v>Ugovor - narudžbenica (periodični predmet)</v>
      </c>
      <c r="I904" s="44" t="s">
        <v>19</v>
      </c>
      <c r="J904" s="42" t="str">
        <f>"27.536,65"</f>
        <v>27.536,65</v>
      </c>
      <c r="K904" s="44" t="s">
        <v>931</v>
      </c>
      <c r="L904" s="44" t="s">
        <v>252</v>
      </c>
      <c r="M904" s="44" t="s">
        <v>44</v>
      </c>
      <c r="N904" s="44" t="str">
        <f>"16.11.2015"</f>
        <v>16.11.2015</v>
      </c>
      <c r="O904" s="42" t="str">
        <f>"27.569,77"</f>
        <v>27.569,77</v>
      </c>
      <c r="P904" s="25" t="s">
        <v>698</v>
      </c>
    </row>
    <row r="905" spans="2:16" s="19" customFormat="1" ht="63" x14ac:dyDescent="0.25">
      <c r="B905" s="45"/>
      <c r="C905" s="45"/>
      <c r="D905" s="45"/>
      <c r="E905" s="45"/>
      <c r="F905" s="45"/>
      <c r="G905" s="45"/>
      <c r="H905" s="45"/>
      <c r="I905" s="45"/>
      <c r="J905" s="43"/>
      <c r="K905" s="45"/>
      <c r="L905" s="45"/>
      <c r="M905" s="45"/>
      <c r="N905" s="45"/>
      <c r="O905" s="43"/>
      <c r="P905" s="26" t="s">
        <v>699</v>
      </c>
    </row>
    <row r="906" spans="2:16" ht="110.25" x14ac:dyDescent="0.25">
      <c r="B906" s="2">
        <v>675</v>
      </c>
      <c r="C906" s="2" t="str">
        <f>"54-15/NOS-11-ZGH/14"</f>
        <v>54-15/NOS-11-ZGH/14</v>
      </c>
      <c r="D906" s="2" t="s">
        <v>304</v>
      </c>
      <c r="E906" s="2" t="s">
        <v>1250</v>
      </c>
      <c r="F906" s="2" t="s">
        <v>1278</v>
      </c>
      <c r="G906" s="2" t="str">
        <f>"54-15/NOS-11-ZGH/14"</f>
        <v>54-15/NOS-11-ZGH/14</v>
      </c>
      <c r="H906" s="2" t="str">
        <f t="shared" ref="H906:H936" si="21">"Ugovor - narudžbenica (periodični predmet)"</f>
        <v>Ugovor - narudžbenica (periodični predmet)</v>
      </c>
      <c r="I906" s="2" t="s">
        <v>19</v>
      </c>
      <c r="J906" s="3" t="str">
        <f>"61.419,17"</f>
        <v>61.419,17</v>
      </c>
      <c r="K906" s="2" t="s">
        <v>199</v>
      </c>
      <c r="L906" s="2" t="s">
        <v>136</v>
      </c>
      <c r="M906" s="2" t="s">
        <v>1280</v>
      </c>
      <c r="N906" s="2" t="str">
        <f>"29.06.2015"</f>
        <v>29.06.2015</v>
      </c>
      <c r="O906" s="3" t="str">
        <f>"53.229,17"</f>
        <v>53.229,17</v>
      </c>
      <c r="P906" s="4"/>
    </row>
    <row r="907" spans="2:16" ht="63" x14ac:dyDescent="0.25">
      <c r="B907" s="2">
        <v>676</v>
      </c>
      <c r="C907" s="2" t="str">
        <f>"8-15/NOS-56/14"</f>
        <v>8-15/NOS-56/14</v>
      </c>
      <c r="D907" s="2" t="s">
        <v>16</v>
      </c>
      <c r="E907" s="2" t="s">
        <v>1250</v>
      </c>
      <c r="F907" s="2" t="s">
        <v>1286</v>
      </c>
      <c r="G907" s="2" t="str">
        <f>"8-15/NOS-56/14"</f>
        <v>8-15/NOS-56/14</v>
      </c>
      <c r="H907" s="2" t="str">
        <f t="shared" si="21"/>
        <v>Ugovor - narudžbenica (periodični predmet)</v>
      </c>
      <c r="I907" s="2" t="s">
        <v>19</v>
      </c>
      <c r="J907" s="3" t="str">
        <f>"1.914,00"</f>
        <v>1.914,00</v>
      </c>
      <c r="K907" s="2" t="s">
        <v>199</v>
      </c>
      <c r="L907" s="2" t="s">
        <v>136</v>
      </c>
      <c r="M907" s="2" t="s">
        <v>715</v>
      </c>
      <c r="N907" s="2" t="str">
        <f>"27.05.2015"</f>
        <v>27.05.2015</v>
      </c>
      <c r="O907" s="3" t="str">
        <f>"1.914,00"</f>
        <v>1.914,00</v>
      </c>
      <c r="P907" s="4"/>
    </row>
    <row r="908" spans="2:16" ht="63" x14ac:dyDescent="0.25">
      <c r="B908" s="2">
        <v>677</v>
      </c>
      <c r="C908" s="2" t="str">
        <f>"19-15/NOS-89/14"</f>
        <v>19-15/NOS-89/14</v>
      </c>
      <c r="D908" s="2" t="s">
        <v>16</v>
      </c>
      <c r="E908" s="2" t="s">
        <v>1250</v>
      </c>
      <c r="F908" s="2" t="s">
        <v>1277</v>
      </c>
      <c r="G908" s="2" t="str">
        <f>"19-15/NOS-89/14"</f>
        <v>19-15/NOS-89/14</v>
      </c>
      <c r="H908" s="2" t="str">
        <f t="shared" si="21"/>
        <v>Ugovor - narudžbenica (periodični predmet)</v>
      </c>
      <c r="I908" s="2" t="s">
        <v>19</v>
      </c>
      <c r="J908" s="3" t="str">
        <f>"22.849,82"</f>
        <v>22.849,82</v>
      </c>
      <c r="K908" s="2" t="s">
        <v>199</v>
      </c>
      <c r="L908" s="2" t="s">
        <v>136</v>
      </c>
      <c r="M908" s="2" t="s">
        <v>868</v>
      </c>
      <c r="N908" s="2" t="str">
        <f>"03.08.2015"</f>
        <v>03.08.2015</v>
      </c>
      <c r="O908" s="3" t="str">
        <f>"22.698,20"</f>
        <v>22.698,20</v>
      </c>
      <c r="P908" s="4"/>
    </row>
    <row r="909" spans="2:16" s="19" customFormat="1" ht="63" x14ac:dyDescent="0.25">
      <c r="B909" s="16">
        <v>678</v>
      </c>
      <c r="C909" s="16" t="str">
        <f>"5-15/NOS-90/14"</f>
        <v>5-15/NOS-90/14</v>
      </c>
      <c r="D909" s="16" t="s">
        <v>16</v>
      </c>
      <c r="E909" s="16" t="s">
        <v>1250</v>
      </c>
      <c r="F909" s="16" t="s">
        <v>1274</v>
      </c>
      <c r="G909" s="16" t="str">
        <f>"5-15/NOS-90/14"</f>
        <v>5-15/NOS-90/14</v>
      </c>
      <c r="H909" s="16" t="str">
        <f t="shared" si="21"/>
        <v>Ugovor - narudžbenica (periodični predmet)</v>
      </c>
      <c r="I909" s="16" t="s">
        <v>19</v>
      </c>
      <c r="J909" s="17" t="str">
        <f>"19.150,00"</f>
        <v>19.150,00</v>
      </c>
      <c r="K909" s="16" t="s">
        <v>199</v>
      </c>
      <c r="L909" s="16" t="s">
        <v>136</v>
      </c>
      <c r="M909" s="16" t="s">
        <v>419</v>
      </c>
      <c r="N909" s="16" t="str">
        <f>"11.08.2015"</f>
        <v>11.08.2015</v>
      </c>
      <c r="O909" s="17" t="str">
        <f>"20.281,84"</f>
        <v>20.281,84</v>
      </c>
      <c r="P909" s="16" t="s">
        <v>777</v>
      </c>
    </row>
    <row r="910" spans="2:16" ht="63" x14ac:dyDescent="0.25">
      <c r="B910" s="2">
        <v>679</v>
      </c>
      <c r="C910" s="2" t="str">
        <f>"3-15/NOS-99/14"</f>
        <v>3-15/NOS-99/14</v>
      </c>
      <c r="D910" s="2" t="s">
        <v>16</v>
      </c>
      <c r="E910" s="2" t="s">
        <v>1250</v>
      </c>
      <c r="F910" s="2" t="s">
        <v>31</v>
      </c>
      <c r="G910" s="2" t="str">
        <f>"3-15/NOS-99/14"</f>
        <v>3-15/NOS-99/14</v>
      </c>
      <c r="H910" s="2" t="str">
        <f t="shared" si="21"/>
        <v>Ugovor - narudžbenica (periodični predmet)</v>
      </c>
      <c r="I910" s="2" t="s">
        <v>19</v>
      </c>
      <c r="J910" s="3" t="str">
        <f>"2.255,13"</f>
        <v>2.255,13</v>
      </c>
      <c r="K910" s="2" t="s">
        <v>199</v>
      </c>
      <c r="L910" s="2" t="s">
        <v>136</v>
      </c>
      <c r="M910" s="2" t="s">
        <v>34</v>
      </c>
      <c r="N910" s="2" t="str">
        <f>"08.06.2015"</f>
        <v>08.06.2015</v>
      </c>
      <c r="O910" s="3" t="str">
        <f>"2.255,13"</f>
        <v>2.255,13</v>
      </c>
      <c r="P910" s="4"/>
    </row>
    <row r="911" spans="2:16" ht="63" x14ac:dyDescent="0.25">
      <c r="B911" s="2">
        <v>680</v>
      </c>
      <c r="C911" s="2" t="str">
        <f>"5-15/NOS-108/14"</f>
        <v>5-15/NOS-108/14</v>
      </c>
      <c r="D911" s="2" t="s">
        <v>16</v>
      </c>
      <c r="E911" s="2" t="s">
        <v>1250</v>
      </c>
      <c r="F911" s="2" t="s">
        <v>41</v>
      </c>
      <c r="G911" s="2" t="str">
        <f>"5-15/NOS-108/14"</f>
        <v>5-15/NOS-108/14</v>
      </c>
      <c r="H911" s="2" t="str">
        <f t="shared" si="21"/>
        <v>Ugovor - narudžbenica (periodični predmet)</v>
      </c>
      <c r="I911" s="2" t="s">
        <v>19</v>
      </c>
      <c r="J911" s="3" t="str">
        <f>"410.245,00"</f>
        <v>410.245,00</v>
      </c>
      <c r="K911" s="2" t="s">
        <v>199</v>
      </c>
      <c r="L911" s="2" t="s">
        <v>136</v>
      </c>
      <c r="M911" s="2" t="s">
        <v>44</v>
      </c>
      <c r="N911" s="2" t="str">
        <f>"14.08.2015"</f>
        <v>14.08.2015</v>
      </c>
      <c r="O911" s="3" t="str">
        <f>"406.468,20"</f>
        <v>406.468,20</v>
      </c>
      <c r="P911" s="4"/>
    </row>
    <row r="912" spans="2:16" ht="63" x14ac:dyDescent="0.25">
      <c r="B912" s="2">
        <v>681</v>
      </c>
      <c r="C912" s="2" t="str">
        <f>"1-15/NOS-112/14"</f>
        <v>1-15/NOS-112/14</v>
      </c>
      <c r="D912" s="2" t="s">
        <v>16</v>
      </c>
      <c r="E912" s="2" t="s">
        <v>1250</v>
      </c>
      <c r="F912" s="2" t="s">
        <v>77</v>
      </c>
      <c r="G912" s="2" t="str">
        <f>"1-15/NOS-112/14"</f>
        <v>1-15/NOS-112/14</v>
      </c>
      <c r="H912" s="2" t="str">
        <f t="shared" si="21"/>
        <v>Ugovor - narudžbenica (periodični predmet)</v>
      </c>
      <c r="I912" s="2" t="s">
        <v>19</v>
      </c>
      <c r="J912" s="3" t="str">
        <f>"17.100,00"</f>
        <v>17.100,00</v>
      </c>
      <c r="K912" s="2" t="s">
        <v>199</v>
      </c>
      <c r="L912" s="2" t="s">
        <v>136</v>
      </c>
      <c r="M912" s="2" t="s">
        <v>80</v>
      </c>
      <c r="N912" s="2" t="str">
        <f>"23.09.2015"</f>
        <v>23.09.2015</v>
      </c>
      <c r="O912" s="3" t="str">
        <f>"17.100,00"</f>
        <v>17.100,00</v>
      </c>
      <c r="P912" s="4"/>
    </row>
    <row r="913" spans="2:16" ht="63" x14ac:dyDescent="0.25">
      <c r="B913" s="2">
        <v>682</v>
      </c>
      <c r="C913" s="2" t="str">
        <f>"8-15/NOS-205/13"</f>
        <v>8-15/NOS-205/13</v>
      </c>
      <c r="D913" s="2" t="s">
        <v>16</v>
      </c>
      <c r="E913" s="2" t="s">
        <v>1250</v>
      </c>
      <c r="F913" s="2" t="s">
        <v>1290</v>
      </c>
      <c r="G913" s="2" t="str">
        <f>"8-15/NOS-205/13"</f>
        <v>8-15/NOS-205/13</v>
      </c>
      <c r="H913" s="2" t="str">
        <f t="shared" si="21"/>
        <v>Ugovor - narudžbenica (periodični predmet)</v>
      </c>
      <c r="I913" s="2" t="s">
        <v>19</v>
      </c>
      <c r="J913" s="3" t="str">
        <f>"10.800,00"</f>
        <v>10.800,00</v>
      </c>
      <c r="K913" s="2" t="s">
        <v>199</v>
      </c>
      <c r="L913" s="2" t="s">
        <v>136</v>
      </c>
      <c r="M913" s="2" t="s">
        <v>84</v>
      </c>
      <c r="N913" s="2" t="str">
        <f>"19.06.2015"</f>
        <v>19.06.2015</v>
      </c>
      <c r="O913" s="3" t="str">
        <f>"1.026,00"</f>
        <v>1.026,00</v>
      </c>
      <c r="P913" s="4"/>
    </row>
    <row r="914" spans="2:16" ht="63" x14ac:dyDescent="0.25">
      <c r="B914" s="2">
        <v>683</v>
      </c>
      <c r="C914" s="2" t="str">
        <f>"4-15/NOS-50/12"</f>
        <v>4-15/NOS-50/12</v>
      </c>
      <c r="D914" s="2" t="s">
        <v>85</v>
      </c>
      <c r="E914" s="2" t="s">
        <v>1250</v>
      </c>
      <c r="F914" s="2" t="s">
        <v>1284</v>
      </c>
      <c r="G914" s="2" t="str">
        <f>"4-15/NOS-50/12"</f>
        <v>4-15/NOS-50/12</v>
      </c>
      <c r="H914" s="2" t="str">
        <f t="shared" si="21"/>
        <v>Ugovor - narudžbenica (periodični predmet)</v>
      </c>
      <c r="I914" s="2" t="s">
        <v>19</v>
      </c>
      <c r="J914" s="3" t="str">
        <f>"8.702,04"</f>
        <v>8.702,04</v>
      </c>
      <c r="K914" s="2" t="s">
        <v>315</v>
      </c>
      <c r="L914" s="2" t="s">
        <v>1300</v>
      </c>
      <c r="M914" s="2" t="s">
        <v>346</v>
      </c>
      <c r="N914" s="2" t="str">
        <f>"17.09.2015"</f>
        <v>17.09.2015</v>
      </c>
      <c r="O914" s="3" t="str">
        <f>"8.648,84"</f>
        <v>8.648,84</v>
      </c>
      <c r="P914" s="4"/>
    </row>
    <row r="915" spans="2:16" ht="63" x14ac:dyDescent="0.25">
      <c r="B915" s="2">
        <v>684</v>
      </c>
      <c r="C915" s="2" t="str">
        <f>"3-15/NOS-183/13"</f>
        <v>3-15/NOS-183/13</v>
      </c>
      <c r="D915" s="2" t="s">
        <v>28</v>
      </c>
      <c r="E915" s="2" t="s">
        <v>1250</v>
      </c>
      <c r="F915" s="2" t="s">
        <v>1292</v>
      </c>
      <c r="G915" s="2" t="str">
        <f>"3-15/NOS-183/13"</f>
        <v>3-15/NOS-183/13</v>
      </c>
      <c r="H915" s="2" t="str">
        <f t="shared" si="21"/>
        <v>Ugovor - narudžbenica (periodični predmet)</v>
      </c>
      <c r="I915" s="2" t="s">
        <v>19</v>
      </c>
      <c r="J915" s="3" t="str">
        <f>"11.208,45"</f>
        <v>11.208,45</v>
      </c>
      <c r="K915" s="2" t="s">
        <v>616</v>
      </c>
      <c r="L915" s="2" t="s">
        <v>136</v>
      </c>
      <c r="M915" s="2" t="s">
        <v>1293</v>
      </c>
      <c r="N915" s="2" t="str">
        <f>"23.06.2015"</f>
        <v>23.06.2015</v>
      </c>
      <c r="O915" s="3" t="str">
        <f>"11.208,45"</f>
        <v>11.208,45</v>
      </c>
      <c r="P915" s="4"/>
    </row>
    <row r="916" spans="2:16" ht="63" x14ac:dyDescent="0.25">
      <c r="B916" s="2">
        <v>685</v>
      </c>
      <c r="C916" s="2" t="str">
        <f>"1-15/NOS-100-B-ZGH/14"</f>
        <v>1-15/NOS-100-B-ZGH/14</v>
      </c>
      <c r="D916" s="2" t="s">
        <v>16</v>
      </c>
      <c r="E916" s="2" t="s">
        <v>1250</v>
      </c>
      <c r="F916" s="2" t="s">
        <v>1301</v>
      </c>
      <c r="G916" s="2" t="str">
        <f>"1-15/NOS-100-B-ZGH/14"</f>
        <v>1-15/NOS-100-B-ZGH/14</v>
      </c>
      <c r="H916" s="2" t="str">
        <f t="shared" si="21"/>
        <v>Ugovor - narudžbenica (periodični predmet)</v>
      </c>
      <c r="I916" s="2" t="s">
        <v>19</v>
      </c>
      <c r="J916" s="3" t="str">
        <f>"17.161,80"</f>
        <v>17.161,80</v>
      </c>
      <c r="K916" s="2" t="s">
        <v>71</v>
      </c>
      <c r="L916" s="2" t="s">
        <v>743</v>
      </c>
      <c r="M916" s="2" t="s">
        <v>382</v>
      </c>
      <c r="N916" s="2" t="str">
        <f>"02.07.2015"</f>
        <v>02.07.2015</v>
      </c>
      <c r="O916" s="3" t="str">
        <f>"14.669,60"</f>
        <v>14.669,60</v>
      </c>
      <c r="P916" s="4"/>
    </row>
    <row r="917" spans="2:16" ht="63" x14ac:dyDescent="0.25">
      <c r="B917" s="2">
        <v>686</v>
      </c>
      <c r="C917" s="2" t="str">
        <f>"20-15/NOS-29/12"</f>
        <v>20-15/NOS-29/12</v>
      </c>
      <c r="D917" s="2" t="s">
        <v>85</v>
      </c>
      <c r="E917" s="2" t="s">
        <v>1250</v>
      </c>
      <c r="F917" s="2" t="s">
        <v>1269</v>
      </c>
      <c r="G917" s="2" t="str">
        <f>"20-15/NOS-29/12"</f>
        <v>20-15/NOS-29/12</v>
      </c>
      <c r="H917" s="2" t="str">
        <f t="shared" si="21"/>
        <v>Ugovor - narudžbenica (periodični predmet)</v>
      </c>
      <c r="I917" s="2" t="s">
        <v>19</v>
      </c>
      <c r="J917" s="3" t="str">
        <f>"76.691,40"</f>
        <v>76.691,40</v>
      </c>
      <c r="K917" s="2" t="s">
        <v>616</v>
      </c>
      <c r="L917" s="2" t="s">
        <v>1300</v>
      </c>
      <c r="M917" s="2" t="s">
        <v>572</v>
      </c>
      <c r="N917" s="2" t="str">
        <f>"31.07.2015"</f>
        <v>31.07.2015</v>
      </c>
      <c r="O917" s="3" t="str">
        <f>"69.793,70"</f>
        <v>69.793,70</v>
      </c>
      <c r="P917" s="4"/>
    </row>
    <row r="918" spans="2:16" ht="78.75" x14ac:dyDescent="0.25">
      <c r="B918" s="2">
        <v>687</v>
      </c>
      <c r="C918" s="2" t="str">
        <f>"1-15/NOS-100-A-ZGH/14"</f>
        <v>1-15/NOS-100-A-ZGH/14</v>
      </c>
      <c r="D918" s="2" t="s">
        <v>1302</v>
      </c>
      <c r="E918" s="2" t="s">
        <v>1250</v>
      </c>
      <c r="F918" s="2" t="s">
        <v>1301</v>
      </c>
      <c r="G918" s="2" t="str">
        <f>"1-15/NOS-100-A-ZGH/14"</f>
        <v>1-15/NOS-100-A-ZGH/14</v>
      </c>
      <c r="H918" s="2" t="str">
        <f t="shared" si="21"/>
        <v>Ugovor - narudžbenica (periodični predmet)</v>
      </c>
      <c r="I918" s="2" t="s">
        <v>19</v>
      </c>
      <c r="J918" s="3" t="str">
        <f>"438.434,18"</f>
        <v>438.434,18</v>
      </c>
      <c r="K918" s="2" t="s">
        <v>71</v>
      </c>
      <c r="L918" s="2" t="s">
        <v>743</v>
      </c>
      <c r="M918" s="2" t="s">
        <v>382</v>
      </c>
      <c r="N918" s="2" t="str">
        <f>"22.07.2015"</f>
        <v>22.07.2015</v>
      </c>
      <c r="O918" s="3" t="str">
        <f>"429.444,03"</f>
        <v>429.444,03</v>
      </c>
      <c r="P918" s="4"/>
    </row>
    <row r="919" spans="2:16" ht="63" x14ac:dyDescent="0.25">
      <c r="B919" s="2">
        <v>688</v>
      </c>
      <c r="C919" s="2" t="str">
        <f>"1-15/NOS-203/13"</f>
        <v>1-15/NOS-203/13</v>
      </c>
      <c r="D919" s="2" t="s">
        <v>16</v>
      </c>
      <c r="E919" s="2" t="s">
        <v>1250</v>
      </c>
      <c r="F919" s="2" t="s">
        <v>1303</v>
      </c>
      <c r="G919" s="2" t="str">
        <f>"1-15/NOS-203/13"</f>
        <v>1-15/NOS-203/13</v>
      </c>
      <c r="H919" s="2" t="str">
        <f t="shared" si="21"/>
        <v>Ugovor - narudžbenica (periodični predmet)</v>
      </c>
      <c r="I919" s="2" t="s">
        <v>19</v>
      </c>
      <c r="J919" s="3" t="str">
        <f>"3.339,92"</f>
        <v>3.339,92</v>
      </c>
      <c r="K919" s="2" t="s">
        <v>1304</v>
      </c>
      <c r="L919" s="2" t="s">
        <v>162</v>
      </c>
      <c r="M919" s="2" t="s">
        <v>1305</v>
      </c>
      <c r="N919" s="2" t="str">
        <f>"09.06.2015"</f>
        <v>09.06.2015</v>
      </c>
      <c r="O919" s="3" t="str">
        <f>"3.339,92"</f>
        <v>3.339,92</v>
      </c>
      <c r="P919" s="4"/>
    </row>
    <row r="920" spans="2:16" ht="63" x14ac:dyDescent="0.25">
      <c r="B920" s="2">
        <v>689</v>
      </c>
      <c r="C920" s="2" t="str">
        <f>"9-15/NOS-205/13"</f>
        <v>9-15/NOS-205/13</v>
      </c>
      <c r="D920" s="2" t="s">
        <v>16</v>
      </c>
      <c r="E920" s="2" t="s">
        <v>1250</v>
      </c>
      <c r="F920" s="2" t="s">
        <v>1290</v>
      </c>
      <c r="G920" s="2" t="str">
        <f>"9-15/NOS-205/13"</f>
        <v>9-15/NOS-205/13</v>
      </c>
      <c r="H920" s="2" t="str">
        <f t="shared" si="21"/>
        <v>Ugovor - narudžbenica (periodični predmet)</v>
      </c>
      <c r="I920" s="2" t="s">
        <v>19</v>
      </c>
      <c r="J920" s="3" t="str">
        <f>"3.960,00"</f>
        <v>3.960,00</v>
      </c>
      <c r="K920" s="2" t="s">
        <v>1304</v>
      </c>
      <c r="L920" s="2" t="s">
        <v>162</v>
      </c>
      <c r="M920" s="2" t="s">
        <v>44</v>
      </c>
      <c r="N920" s="2" t="str">
        <f>"09.06.2015"</f>
        <v>09.06.2015</v>
      </c>
      <c r="O920" s="3" t="str">
        <f>"3.960,00"</f>
        <v>3.960,00</v>
      </c>
      <c r="P920" s="4"/>
    </row>
    <row r="921" spans="2:16" ht="94.5" x14ac:dyDescent="0.25">
      <c r="B921" s="2">
        <v>690</v>
      </c>
      <c r="C921" s="2" t="str">
        <f>"1-15/NOS-206/13"</f>
        <v>1-15/NOS-206/13</v>
      </c>
      <c r="D921" s="2" t="s">
        <v>16</v>
      </c>
      <c r="E921" s="2" t="s">
        <v>1250</v>
      </c>
      <c r="F921" s="2" t="s">
        <v>1306</v>
      </c>
      <c r="G921" s="2" t="str">
        <f>"1-15/NOS-206/13"</f>
        <v>1-15/NOS-206/13</v>
      </c>
      <c r="H921" s="2" t="str">
        <f t="shared" si="21"/>
        <v>Ugovor - narudžbenica (periodični predmet)</v>
      </c>
      <c r="I921" s="2" t="s">
        <v>19</v>
      </c>
      <c r="J921" s="3" t="str">
        <f>"10.000,00"</f>
        <v>10.000,00</v>
      </c>
      <c r="K921" s="2" t="s">
        <v>1304</v>
      </c>
      <c r="L921" s="2" t="s">
        <v>162</v>
      </c>
      <c r="M921" s="2" t="s">
        <v>416</v>
      </c>
      <c r="N921" s="2" t="str">
        <f>"03.07.2015"</f>
        <v>03.07.2015</v>
      </c>
      <c r="O921" s="3" t="str">
        <f>"10.000,00"</f>
        <v>10.000,00</v>
      </c>
      <c r="P921" s="4"/>
    </row>
    <row r="922" spans="2:16" ht="63" x14ac:dyDescent="0.25">
      <c r="B922" s="2">
        <v>691</v>
      </c>
      <c r="C922" s="2" t="str">
        <f>"4-15/NOS-209/13"</f>
        <v>4-15/NOS-209/13</v>
      </c>
      <c r="D922" s="2" t="s">
        <v>16</v>
      </c>
      <c r="E922" s="2" t="s">
        <v>1250</v>
      </c>
      <c r="F922" s="2" t="s">
        <v>1296</v>
      </c>
      <c r="G922" s="2" t="str">
        <f>"4-15/NOS-209/13"</f>
        <v>4-15/NOS-209/13</v>
      </c>
      <c r="H922" s="2" t="str">
        <f t="shared" si="21"/>
        <v>Ugovor - narudžbenica (periodični predmet)</v>
      </c>
      <c r="I922" s="2" t="s">
        <v>19</v>
      </c>
      <c r="J922" s="3" t="str">
        <f>"1.938,40"</f>
        <v>1.938,40</v>
      </c>
      <c r="K922" s="2" t="s">
        <v>1304</v>
      </c>
      <c r="L922" s="2" t="s">
        <v>162</v>
      </c>
      <c r="M922" s="2" t="s">
        <v>111</v>
      </c>
      <c r="N922" s="2" t="str">
        <f>"13.08.2015"</f>
        <v>13.08.2015</v>
      </c>
      <c r="O922" s="3" t="str">
        <f>"1.938,40"</f>
        <v>1.938,40</v>
      </c>
      <c r="P922" s="4"/>
    </row>
    <row r="923" spans="2:16" ht="63" x14ac:dyDescent="0.25">
      <c r="B923" s="2">
        <v>692</v>
      </c>
      <c r="C923" s="2" t="str">
        <f>"4-15/NOS-210-A/13"</f>
        <v>4-15/NOS-210-A/13</v>
      </c>
      <c r="D923" s="2" t="s">
        <v>85</v>
      </c>
      <c r="E923" s="2" t="s">
        <v>1250</v>
      </c>
      <c r="F923" s="2" t="s">
        <v>1294</v>
      </c>
      <c r="G923" s="2" t="str">
        <f>"4-15/NOS-210-A/13"</f>
        <v>4-15/NOS-210-A/13</v>
      </c>
      <c r="H923" s="2" t="str">
        <f t="shared" si="21"/>
        <v>Ugovor - narudžbenica (periodični predmet)</v>
      </c>
      <c r="I923" s="2" t="s">
        <v>19</v>
      </c>
      <c r="J923" s="3" t="str">
        <f>"34.653,00"</f>
        <v>34.653,00</v>
      </c>
      <c r="K923" s="2" t="s">
        <v>1304</v>
      </c>
      <c r="L923" s="2" t="s">
        <v>162</v>
      </c>
      <c r="M923" s="2" t="s">
        <v>84</v>
      </c>
      <c r="N923" s="2" t="str">
        <f>"21.07.2015"</f>
        <v>21.07.2015</v>
      </c>
      <c r="O923" s="3" t="str">
        <f>"34.653,00"</f>
        <v>34.653,00</v>
      </c>
      <c r="P923" s="4"/>
    </row>
    <row r="924" spans="2:16" ht="63" x14ac:dyDescent="0.25">
      <c r="B924" s="2">
        <v>693</v>
      </c>
      <c r="C924" s="2" t="str">
        <f>"28-15/NOS-53-ZGH/14"</f>
        <v>28-15/NOS-53-ZGH/14</v>
      </c>
      <c r="D924" s="2" t="s">
        <v>260</v>
      </c>
      <c r="E924" s="2" t="s">
        <v>1250</v>
      </c>
      <c r="F924" s="2" t="s">
        <v>1272</v>
      </c>
      <c r="G924" s="2" t="str">
        <f>"28-15/NOS-53-ZGH/14"</f>
        <v>28-15/NOS-53-ZGH/14</v>
      </c>
      <c r="H924" s="2" t="str">
        <f t="shared" si="21"/>
        <v>Ugovor - narudžbenica (periodični predmet)</v>
      </c>
      <c r="I924" s="2" t="s">
        <v>19</v>
      </c>
      <c r="J924" s="3" t="str">
        <f>"20.618,60"</f>
        <v>20.618,60</v>
      </c>
      <c r="K924" s="2" t="s">
        <v>1304</v>
      </c>
      <c r="L924" s="2" t="s">
        <v>162</v>
      </c>
      <c r="M924" s="2" t="s">
        <v>1097</v>
      </c>
      <c r="N924" s="2" t="str">
        <f>"09.07.2015"</f>
        <v>09.07.2015</v>
      </c>
      <c r="O924" s="3" t="str">
        <f>"20.618,60"</f>
        <v>20.618,60</v>
      </c>
      <c r="P924" s="4"/>
    </row>
    <row r="925" spans="2:16" ht="63" x14ac:dyDescent="0.25">
      <c r="B925" s="2">
        <v>694</v>
      </c>
      <c r="C925" s="2" t="str">
        <f>"11-15/NOS-24-ZGH/14"</f>
        <v>11-15/NOS-24-ZGH/14</v>
      </c>
      <c r="D925" s="2" t="s">
        <v>16</v>
      </c>
      <c r="E925" s="2" t="s">
        <v>1250</v>
      </c>
      <c r="F925" s="2" t="s">
        <v>1276</v>
      </c>
      <c r="G925" s="2" t="str">
        <f>"11-15/NOS-24-ZGH/14"</f>
        <v>11-15/NOS-24-ZGH/14</v>
      </c>
      <c r="H925" s="2" t="str">
        <f t="shared" si="21"/>
        <v>Ugovor - narudžbenica (periodični predmet)</v>
      </c>
      <c r="I925" s="2" t="s">
        <v>19</v>
      </c>
      <c r="J925" s="3" t="str">
        <f>"7.821,00"</f>
        <v>7.821,00</v>
      </c>
      <c r="K925" s="2" t="s">
        <v>1304</v>
      </c>
      <c r="L925" s="2" t="s">
        <v>162</v>
      </c>
      <c r="M925" s="2" t="s">
        <v>1307</v>
      </c>
      <c r="N925" s="2" t="str">
        <f>"03.09.2015"</f>
        <v>03.09.2015</v>
      </c>
      <c r="O925" s="3" t="str">
        <f>"7.796,50"</f>
        <v>7.796,50</v>
      </c>
      <c r="P925" s="4"/>
    </row>
    <row r="926" spans="2:16" ht="63" x14ac:dyDescent="0.25">
      <c r="B926" s="2">
        <v>695</v>
      </c>
      <c r="C926" s="2" t="str">
        <f>"55-15/NOS-11-ZGH/14"</f>
        <v>55-15/NOS-11-ZGH/14</v>
      </c>
      <c r="D926" s="2" t="s">
        <v>260</v>
      </c>
      <c r="E926" s="2" t="s">
        <v>1250</v>
      </c>
      <c r="F926" s="2" t="s">
        <v>1278</v>
      </c>
      <c r="G926" s="2" t="str">
        <f>"55-15/NOS-11-ZGH/14"</f>
        <v>55-15/NOS-11-ZGH/14</v>
      </c>
      <c r="H926" s="2" t="str">
        <f t="shared" si="21"/>
        <v>Ugovor - narudžbenica (periodični predmet)</v>
      </c>
      <c r="I926" s="2" t="s">
        <v>19</v>
      </c>
      <c r="J926" s="3" t="str">
        <f>"13.592,79"</f>
        <v>13.592,79</v>
      </c>
      <c r="K926" s="2" t="s">
        <v>1304</v>
      </c>
      <c r="L926" s="2" t="s">
        <v>136</v>
      </c>
      <c r="M926" s="2" t="s">
        <v>836</v>
      </c>
      <c r="N926" s="2" t="str">
        <f>"30.07.2015"</f>
        <v>30.07.2015</v>
      </c>
      <c r="O926" s="3" t="str">
        <f>"13.592,79"</f>
        <v>13.592,79</v>
      </c>
      <c r="P926" s="4"/>
    </row>
    <row r="927" spans="2:16" ht="63" x14ac:dyDescent="0.25">
      <c r="B927" s="2">
        <v>696</v>
      </c>
      <c r="C927" s="2" t="str">
        <f>"11-15/NOS-83/14"</f>
        <v>11-15/NOS-83/14</v>
      </c>
      <c r="D927" s="2" t="s">
        <v>28</v>
      </c>
      <c r="E927" s="2" t="s">
        <v>1250</v>
      </c>
      <c r="F927" s="2" t="s">
        <v>1273</v>
      </c>
      <c r="G927" s="2" t="str">
        <f>"11-15/NOS-83/14"</f>
        <v>11-15/NOS-83/14</v>
      </c>
      <c r="H927" s="2" t="str">
        <f t="shared" si="21"/>
        <v>Ugovor - narudžbenica (periodični predmet)</v>
      </c>
      <c r="I927" s="2" t="s">
        <v>19</v>
      </c>
      <c r="J927" s="3" t="str">
        <f>"5.524,00"</f>
        <v>5.524,00</v>
      </c>
      <c r="K927" s="2" t="s">
        <v>1304</v>
      </c>
      <c r="L927" s="2" t="s">
        <v>162</v>
      </c>
      <c r="M927" s="2" t="s">
        <v>941</v>
      </c>
      <c r="N927" s="2" t="str">
        <f>"08.06.2015"</f>
        <v>08.06.2015</v>
      </c>
      <c r="O927" s="3" t="str">
        <f>"5.524,00"</f>
        <v>5.524,00</v>
      </c>
      <c r="P927" s="4"/>
    </row>
    <row r="928" spans="2:16" ht="63" x14ac:dyDescent="0.25">
      <c r="B928" s="2">
        <v>697</v>
      </c>
      <c r="C928" s="2" t="str">
        <f>"6-15/NOS-90/14"</f>
        <v>6-15/NOS-90/14</v>
      </c>
      <c r="D928" s="2" t="s">
        <v>16</v>
      </c>
      <c r="E928" s="2" t="s">
        <v>1250</v>
      </c>
      <c r="F928" s="2" t="s">
        <v>1274</v>
      </c>
      <c r="G928" s="2" t="str">
        <f>"6-15/NOS-90/14"</f>
        <v>6-15/NOS-90/14</v>
      </c>
      <c r="H928" s="2" t="str">
        <f t="shared" si="21"/>
        <v>Ugovor - narudžbenica (periodični predmet)</v>
      </c>
      <c r="I928" s="2" t="s">
        <v>19</v>
      </c>
      <c r="J928" s="3" t="str">
        <f>"352.110,00"</f>
        <v>352.110,00</v>
      </c>
      <c r="K928" s="2" t="s">
        <v>1304</v>
      </c>
      <c r="L928" s="2" t="s">
        <v>162</v>
      </c>
      <c r="M928" s="2" t="s">
        <v>419</v>
      </c>
      <c r="N928" s="2" t="str">
        <f>"12.01.2016"</f>
        <v>12.01.2016</v>
      </c>
      <c r="O928" s="3" t="str">
        <f>"305.696,88"</f>
        <v>305.696,88</v>
      </c>
      <c r="P928" s="2"/>
    </row>
    <row r="929" spans="2:16" ht="63" x14ac:dyDescent="0.25">
      <c r="B929" s="2">
        <v>698</v>
      </c>
      <c r="C929" s="2" t="str">
        <f>"21-15/NOS-29/12"</f>
        <v>21-15/NOS-29/12</v>
      </c>
      <c r="D929" s="2" t="s">
        <v>85</v>
      </c>
      <c r="E929" s="2" t="s">
        <v>1250</v>
      </c>
      <c r="F929" s="2" t="s">
        <v>1269</v>
      </c>
      <c r="G929" s="2" t="str">
        <f>"21-15/NOS-29/12"</f>
        <v>21-15/NOS-29/12</v>
      </c>
      <c r="H929" s="2" t="str">
        <f t="shared" si="21"/>
        <v>Ugovor - narudžbenica (periodični predmet)</v>
      </c>
      <c r="I929" s="2" t="s">
        <v>19</v>
      </c>
      <c r="J929" s="3" t="str">
        <f>"49.345,50"</f>
        <v>49.345,50</v>
      </c>
      <c r="K929" s="2" t="s">
        <v>1304</v>
      </c>
      <c r="L929" s="2" t="s">
        <v>1300</v>
      </c>
      <c r="M929" s="2" t="s">
        <v>1299</v>
      </c>
      <c r="N929" s="2" t="str">
        <f>"03.07.2015"</f>
        <v>03.07.2015</v>
      </c>
      <c r="O929" s="3" t="str">
        <f>"49.345,50"</f>
        <v>49.345,50</v>
      </c>
      <c r="P929" s="4"/>
    </row>
    <row r="930" spans="2:16" ht="63" x14ac:dyDescent="0.25">
      <c r="B930" s="2">
        <v>699</v>
      </c>
      <c r="C930" s="2" t="str">
        <f>"68-15/NOS-103/13"</f>
        <v>68-15/NOS-103/13</v>
      </c>
      <c r="D930" s="2" t="s">
        <v>28</v>
      </c>
      <c r="E930" s="2" t="s">
        <v>1250</v>
      </c>
      <c r="F930" s="2" t="s">
        <v>543</v>
      </c>
      <c r="G930" s="2" t="str">
        <f>"68-15/NOS-103/13"</f>
        <v>68-15/NOS-103/13</v>
      </c>
      <c r="H930" s="2" t="str">
        <f t="shared" si="21"/>
        <v>Ugovor - narudžbenica (periodični predmet)</v>
      </c>
      <c r="I930" s="2" t="s">
        <v>19</v>
      </c>
      <c r="J930" s="3" t="str">
        <f>"9.667,40"</f>
        <v>9.667,40</v>
      </c>
      <c r="K930" s="2" t="s">
        <v>1304</v>
      </c>
      <c r="L930" s="2" t="s">
        <v>162</v>
      </c>
      <c r="M930" s="2" t="s">
        <v>75</v>
      </c>
      <c r="N930" s="2" t="str">
        <f>"04.09.2015"</f>
        <v>04.09.2015</v>
      </c>
      <c r="O930" s="3" t="str">
        <f>"9.667,40"</f>
        <v>9.667,40</v>
      </c>
      <c r="P930" s="4"/>
    </row>
    <row r="931" spans="2:16" ht="63" x14ac:dyDescent="0.25">
      <c r="B931" s="2">
        <v>700</v>
      </c>
      <c r="C931" s="2" t="str">
        <f>"6-15/NOS-108/14"</f>
        <v>6-15/NOS-108/14</v>
      </c>
      <c r="D931" s="2" t="s">
        <v>16</v>
      </c>
      <c r="E931" s="2" t="s">
        <v>1250</v>
      </c>
      <c r="F931" s="2" t="s">
        <v>41</v>
      </c>
      <c r="G931" s="2" t="str">
        <f>"6-15/NOS-108/14"</f>
        <v>6-15/NOS-108/14</v>
      </c>
      <c r="H931" s="2" t="str">
        <f t="shared" si="21"/>
        <v>Ugovor - narudžbenica (periodični predmet)</v>
      </c>
      <c r="I931" s="2" t="s">
        <v>19</v>
      </c>
      <c r="J931" s="3" t="str">
        <f>"70.823,00"</f>
        <v>70.823,00</v>
      </c>
      <c r="K931" s="2" t="s">
        <v>252</v>
      </c>
      <c r="L931" s="2" t="s">
        <v>162</v>
      </c>
      <c r="M931" s="2" t="s">
        <v>44</v>
      </c>
      <c r="N931" s="2" t="str">
        <f>"17.08.2015"</f>
        <v>17.08.2015</v>
      </c>
      <c r="O931" s="3" t="str">
        <f>"70.823,00"</f>
        <v>70.823,00</v>
      </c>
      <c r="P931" s="4"/>
    </row>
    <row r="932" spans="2:16" ht="63" x14ac:dyDescent="0.25">
      <c r="B932" s="2">
        <v>701</v>
      </c>
      <c r="C932" s="2" t="str">
        <f>"2-15/NOS-112/14"</f>
        <v>2-15/NOS-112/14</v>
      </c>
      <c r="D932" s="2" t="s">
        <v>1275</v>
      </c>
      <c r="E932" s="2" t="s">
        <v>1250</v>
      </c>
      <c r="F932" s="2" t="s">
        <v>77</v>
      </c>
      <c r="G932" s="2" t="str">
        <f>"2-15/NOS-112/14"</f>
        <v>2-15/NOS-112/14</v>
      </c>
      <c r="H932" s="2" t="str">
        <f t="shared" si="21"/>
        <v>Ugovor - narudžbenica (periodični predmet)</v>
      </c>
      <c r="I932" s="2" t="s">
        <v>19</v>
      </c>
      <c r="J932" s="3" t="str">
        <f>"202.150,00"</f>
        <v>202.150,00</v>
      </c>
      <c r="K932" s="2" t="s">
        <v>252</v>
      </c>
      <c r="L932" s="2" t="s">
        <v>162</v>
      </c>
      <c r="M932" s="2" t="s">
        <v>80</v>
      </c>
      <c r="N932" s="2" t="str">
        <f>"16.06.2015"</f>
        <v>16.06.2015</v>
      </c>
      <c r="O932" s="3" t="str">
        <f>"2.150,00"</f>
        <v>2.150,00</v>
      </c>
      <c r="P932" s="4"/>
    </row>
    <row r="933" spans="2:16" ht="63" x14ac:dyDescent="0.25">
      <c r="B933" s="2">
        <v>702</v>
      </c>
      <c r="C933" s="2" t="str">
        <f>"14-15/NOS-117/13"</f>
        <v>14-15/NOS-117/13</v>
      </c>
      <c r="D933" s="2" t="s">
        <v>16</v>
      </c>
      <c r="E933" s="2" t="s">
        <v>1250</v>
      </c>
      <c r="F933" s="2" t="s">
        <v>1265</v>
      </c>
      <c r="G933" s="2" t="str">
        <f>"14-15/NOS-117/13"</f>
        <v>14-15/NOS-117/13</v>
      </c>
      <c r="H933" s="2" t="str">
        <f t="shared" si="21"/>
        <v>Ugovor - narudžbenica (periodični predmet)</v>
      </c>
      <c r="I933" s="2" t="s">
        <v>19</v>
      </c>
      <c r="J933" s="3" t="str">
        <f>"1.260,00"</f>
        <v>1.260,00</v>
      </c>
      <c r="K933" s="2" t="s">
        <v>252</v>
      </c>
      <c r="L933" s="2" t="s">
        <v>162</v>
      </c>
      <c r="M933" s="2" t="s">
        <v>84</v>
      </c>
      <c r="N933" s="2" t="str">
        <f>"29.10.2015"</f>
        <v>29.10.2015</v>
      </c>
      <c r="O933" s="3" t="str">
        <f>"1.260,00"</f>
        <v>1.260,00</v>
      </c>
      <c r="P933" s="4"/>
    </row>
    <row r="934" spans="2:16" ht="63" x14ac:dyDescent="0.25">
      <c r="B934" s="2">
        <v>703</v>
      </c>
      <c r="C934" s="2" t="str">
        <f>"13-15/NOS-97/14"</f>
        <v>13-15/NOS-97/14</v>
      </c>
      <c r="D934" s="2" t="s">
        <v>28</v>
      </c>
      <c r="E934" s="2" t="s">
        <v>1250</v>
      </c>
      <c r="F934" s="2" t="s">
        <v>1285</v>
      </c>
      <c r="G934" s="2" t="str">
        <f>"13-15/NOS-97/14"</f>
        <v>13-15/NOS-97/14</v>
      </c>
      <c r="H934" s="2" t="str">
        <f t="shared" si="21"/>
        <v>Ugovor - narudžbenica (periodični predmet)</v>
      </c>
      <c r="I934" s="2" t="s">
        <v>19</v>
      </c>
      <c r="J934" s="3" t="str">
        <f>"26.405,66"</f>
        <v>26.405,66</v>
      </c>
      <c r="K934" s="2" t="s">
        <v>1308</v>
      </c>
      <c r="L934" s="2" t="s">
        <v>162</v>
      </c>
      <c r="M934" s="2" t="s">
        <v>164</v>
      </c>
      <c r="N934" s="2" t="str">
        <f>"23.09.2015"</f>
        <v>23.09.2015</v>
      </c>
      <c r="O934" s="3" t="str">
        <f>"24.338,07"</f>
        <v>24.338,07</v>
      </c>
      <c r="P934" s="4"/>
    </row>
    <row r="935" spans="2:16" ht="94.5" x14ac:dyDescent="0.25">
      <c r="B935" s="2">
        <v>704</v>
      </c>
      <c r="C935" s="2" t="str">
        <f>"2-15/NOS-100-A-ZGH/14"</f>
        <v>2-15/NOS-100-A-ZGH/14</v>
      </c>
      <c r="D935" s="2" t="s">
        <v>1309</v>
      </c>
      <c r="E935" s="2" t="s">
        <v>1250</v>
      </c>
      <c r="F935" s="2" t="s">
        <v>1301</v>
      </c>
      <c r="G935" s="2" t="str">
        <f>"2-15/NOS-100-A-ZGH/14"</f>
        <v>2-15/NOS-100-A-ZGH/14</v>
      </c>
      <c r="H935" s="2" t="str">
        <f t="shared" si="21"/>
        <v>Ugovor - narudžbenica (periodični predmet)</v>
      </c>
      <c r="I935" s="2" t="s">
        <v>19</v>
      </c>
      <c r="J935" s="3" t="str">
        <f>"532.889,91"</f>
        <v>532.889,91</v>
      </c>
      <c r="K935" s="2" t="s">
        <v>1310</v>
      </c>
      <c r="L935" s="2" t="s">
        <v>326</v>
      </c>
      <c r="M935" s="2" t="s">
        <v>382</v>
      </c>
      <c r="N935" s="2" t="str">
        <f>"16.09.2015"</f>
        <v>16.09.2015</v>
      </c>
      <c r="O935" s="3" t="str">
        <f>"525.861,57"</f>
        <v>525.861,57</v>
      </c>
      <c r="P935" s="4"/>
    </row>
    <row r="936" spans="2:16" ht="15.75" x14ac:dyDescent="0.25">
      <c r="B936" s="36">
        <v>705</v>
      </c>
      <c r="C936" s="36" t="str">
        <f>"2-15/NOS-100-B-ZGH/14"</f>
        <v>2-15/NOS-100-B-ZGH/14</v>
      </c>
      <c r="D936" s="36" t="s">
        <v>16</v>
      </c>
      <c r="E936" s="36" t="s">
        <v>1250</v>
      </c>
      <c r="F936" s="36" t="s">
        <v>1301</v>
      </c>
      <c r="G936" s="36" t="str">
        <f>"2-15/NOS-100-B-ZGH/14"</f>
        <v>2-15/NOS-100-B-ZGH/14</v>
      </c>
      <c r="H936" s="36" t="str">
        <f t="shared" si="21"/>
        <v>Ugovor - narudžbenica (periodični predmet)</v>
      </c>
      <c r="I936" s="36" t="s">
        <v>19</v>
      </c>
      <c r="J936" s="38" t="str">
        <f>"1.894,60"</f>
        <v>1.894,60</v>
      </c>
      <c r="K936" s="36" t="s">
        <v>1310</v>
      </c>
      <c r="L936" s="36" t="s">
        <v>326</v>
      </c>
      <c r="M936" s="36" t="s">
        <v>382</v>
      </c>
      <c r="N936" s="36" t="str">
        <f>"16.09.2015"</f>
        <v>16.09.2015</v>
      </c>
      <c r="O936" s="38" t="str">
        <f>"1.150,03"</f>
        <v>1.150,03</v>
      </c>
      <c r="P936" s="6"/>
    </row>
    <row r="937" spans="2:16" ht="15.75" x14ac:dyDescent="0.25">
      <c r="B937" s="37"/>
      <c r="C937" s="37"/>
      <c r="D937" s="37"/>
      <c r="E937" s="37"/>
      <c r="F937" s="37"/>
      <c r="G937" s="37"/>
      <c r="H937" s="37"/>
      <c r="I937" s="37"/>
      <c r="J937" s="39"/>
      <c r="K937" s="37"/>
      <c r="L937" s="37"/>
      <c r="M937" s="37"/>
      <c r="N937" s="37"/>
      <c r="O937" s="39"/>
      <c r="P937" s="8"/>
    </row>
    <row r="938" spans="2:16" ht="63" x14ac:dyDescent="0.25">
      <c r="B938" s="2">
        <v>706</v>
      </c>
      <c r="C938" s="2" t="str">
        <f>"29-15/NOS-53-ZGH/14"</f>
        <v>29-15/NOS-53-ZGH/14</v>
      </c>
      <c r="D938" s="2" t="s">
        <v>16</v>
      </c>
      <c r="E938" s="2" t="s">
        <v>1250</v>
      </c>
      <c r="F938" s="2" t="s">
        <v>1272</v>
      </c>
      <c r="G938" s="2" t="str">
        <f>"29-15/NOS-53-ZGH/14"</f>
        <v>29-15/NOS-53-ZGH/14</v>
      </c>
      <c r="H938" s="2" t="str">
        <f t="shared" ref="H938:H956" si="22">"Ugovor - narudžbenica (periodični predmet)"</f>
        <v>Ugovor - narudžbenica (periodični predmet)</v>
      </c>
      <c r="I938" s="2" t="s">
        <v>19</v>
      </c>
      <c r="J938" s="3" t="str">
        <f>"12.396,60"</f>
        <v>12.396,60</v>
      </c>
      <c r="K938" s="2" t="s">
        <v>292</v>
      </c>
      <c r="L938" s="2" t="s">
        <v>1311</v>
      </c>
      <c r="M938" s="2" t="s">
        <v>1097</v>
      </c>
      <c r="N938" s="2" t="str">
        <f>"01.07.2015"</f>
        <v>01.07.2015</v>
      </c>
      <c r="O938" s="3" t="str">
        <f>"12.396,60"</f>
        <v>12.396,60</v>
      </c>
      <c r="P938" s="4"/>
    </row>
    <row r="939" spans="2:16" ht="63" x14ac:dyDescent="0.25">
      <c r="B939" s="2">
        <v>707</v>
      </c>
      <c r="C939" s="2" t="str">
        <f>"14-15/NOS-67/13"</f>
        <v>14-15/NOS-67/13</v>
      </c>
      <c r="D939" s="2" t="s">
        <v>16</v>
      </c>
      <c r="E939" s="2" t="s">
        <v>1250</v>
      </c>
      <c r="F939" s="2" t="s">
        <v>255</v>
      </c>
      <c r="G939" s="2" t="str">
        <f>"14-15/NOS-67/13"</f>
        <v>14-15/NOS-67/13</v>
      </c>
      <c r="H939" s="2" t="str">
        <f t="shared" si="22"/>
        <v>Ugovor - narudžbenica (periodični predmet)</v>
      </c>
      <c r="I939" s="2" t="s">
        <v>19</v>
      </c>
      <c r="J939" s="3" t="str">
        <f>"112.050,00"</f>
        <v>112.050,00</v>
      </c>
      <c r="K939" s="2" t="s">
        <v>292</v>
      </c>
      <c r="L939" s="2" t="s">
        <v>1311</v>
      </c>
      <c r="M939" s="2" t="s">
        <v>184</v>
      </c>
      <c r="N939" s="2" t="str">
        <f>"07.08.2015"</f>
        <v>07.08.2015</v>
      </c>
      <c r="O939" s="3" t="str">
        <f>"112.050,00"</f>
        <v>112.050,00</v>
      </c>
      <c r="P939" s="4"/>
    </row>
    <row r="940" spans="2:16" ht="78.75" x14ac:dyDescent="0.25">
      <c r="B940" s="2">
        <v>708</v>
      </c>
      <c r="C940" s="2" t="str">
        <f>"4-15/NOS-99/14"</f>
        <v>4-15/NOS-99/14</v>
      </c>
      <c r="D940" s="2" t="s">
        <v>16</v>
      </c>
      <c r="E940" s="2" t="s">
        <v>1250</v>
      </c>
      <c r="F940" s="2" t="s">
        <v>31</v>
      </c>
      <c r="G940" s="2" t="str">
        <f>"4-15/NOS-99/14"</f>
        <v>4-15/NOS-99/14</v>
      </c>
      <c r="H940" s="2" t="str">
        <f t="shared" si="22"/>
        <v>Ugovor - narudžbenica (periodični predmet)</v>
      </c>
      <c r="I940" s="2" t="s">
        <v>19</v>
      </c>
      <c r="J940" s="3" t="str">
        <f>"5.110,00"</f>
        <v>5.110,00</v>
      </c>
      <c r="K940" s="2" t="s">
        <v>292</v>
      </c>
      <c r="L940" s="2" t="s">
        <v>1311</v>
      </c>
      <c r="M940" s="2" t="s">
        <v>36</v>
      </c>
      <c r="N940" s="2" t="str">
        <f>"12.08.2015"</f>
        <v>12.08.2015</v>
      </c>
      <c r="O940" s="3" t="str">
        <f>"5.110,00"</f>
        <v>5.110,00</v>
      </c>
      <c r="P940" s="4"/>
    </row>
    <row r="941" spans="2:16" ht="63" x14ac:dyDescent="0.25">
      <c r="B941" s="2">
        <v>709</v>
      </c>
      <c r="C941" s="2" t="str">
        <f>"9-15/NOS-47/14"</f>
        <v>9-15/NOS-47/14</v>
      </c>
      <c r="D941" s="2" t="s">
        <v>16</v>
      </c>
      <c r="E941" s="2" t="s">
        <v>1250</v>
      </c>
      <c r="F941" s="2" t="s">
        <v>1298</v>
      </c>
      <c r="G941" s="2" t="str">
        <f>"9-15/NOS-47/14"</f>
        <v>9-15/NOS-47/14</v>
      </c>
      <c r="H941" s="2" t="str">
        <f t="shared" si="22"/>
        <v>Ugovor - narudžbenica (periodični predmet)</v>
      </c>
      <c r="I941" s="2" t="s">
        <v>19</v>
      </c>
      <c r="J941" s="3" t="str">
        <f>"572,00"</f>
        <v>572,00</v>
      </c>
      <c r="K941" s="2" t="s">
        <v>292</v>
      </c>
      <c r="L941" s="2" t="s">
        <v>1311</v>
      </c>
      <c r="M941" s="2" t="s">
        <v>960</v>
      </c>
      <c r="N941" s="2" t="str">
        <f>"01.07.2015"</f>
        <v>01.07.2015</v>
      </c>
      <c r="O941" s="3" t="str">
        <f>"572,00"</f>
        <v>572,00</v>
      </c>
      <c r="P941" s="4"/>
    </row>
    <row r="942" spans="2:16" ht="63" x14ac:dyDescent="0.25">
      <c r="B942" s="2">
        <v>710</v>
      </c>
      <c r="C942" s="2" t="str">
        <f>"12-15/NOS-83/14"</f>
        <v>12-15/NOS-83/14</v>
      </c>
      <c r="D942" s="2" t="s">
        <v>16</v>
      </c>
      <c r="E942" s="2" t="s">
        <v>1250</v>
      </c>
      <c r="F942" s="2" t="s">
        <v>1273</v>
      </c>
      <c r="G942" s="2" t="str">
        <f>"12-15/NOS-83/14"</f>
        <v>12-15/NOS-83/14</v>
      </c>
      <c r="H942" s="2" t="str">
        <f t="shared" si="22"/>
        <v>Ugovor - narudžbenica (periodični predmet)</v>
      </c>
      <c r="I942" s="2" t="s">
        <v>19</v>
      </c>
      <c r="J942" s="3" t="str">
        <f>"7.146,00"</f>
        <v>7.146,00</v>
      </c>
      <c r="K942" s="2" t="s">
        <v>292</v>
      </c>
      <c r="L942" s="2" t="s">
        <v>1311</v>
      </c>
      <c r="M942" s="2" t="s">
        <v>754</v>
      </c>
      <c r="N942" s="2" t="str">
        <f>"17.07.2015"</f>
        <v>17.07.2015</v>
      </c>
      <c r="O942" s="3" t="str">
        <f>"7.146,00"</f>
        <v>7.146,00</v>
      </c>
      <c r="P942" s="4"/>
    </row>
    <row r="943" spans="2:16" ht="63" x14ac:dyDescent="0.25">
      <c r="B943" s="2">
        <v>711</v>
      </c>
      <c r="C943" s="2" t="str">
        <f>"32-15/NOS-109/13"</f>
        <v>32-15/NOS-109/13</v>
      </c>
      <c r="D943" s="2" t="s">
        <v>16</v>
      </c>
      <c r="E943" s="2" t="s">
        <v>1250</v>
      </c>
      <c r="F943" s="2" t="s">
        <v>1312</v>
      </c>
      <c r="G943" s="2" t="str">
        <f>"32-15/NOS-109/13"</f>
        <v>32-15/NOS-109/13</v>
      </c>
      <c r="H943" s="2" t="str">
        <f t="shared" si="22"/>
        <v>Ugovor - narudžbenica (periodični predmet)</v>
      </c>
      <c r="I943" s="2" t="s">
        <v>19</v>
      </c>
      <c r="J943" s="3" t="str">
        <f>"4.388,40"</f>
        <v>4.388,40</v>
      </c>
      <c r="K943" s="2" t="s">
        <v>292</v>
      </c>
      <c r="L943" s="2" t="s">
        <v>1311</v>
      </c>
      <c r="M943" s="2" t="s">
        <v>44</v>
      </c>
      <c r="N943" s="2" t="str">
        <f>"08.07.2015"</f>
        <v>08.07.2015</v>
      </c>
      <c r="O943" s="3" t="str">
        <f>"4.388,40"</f>
        <v>4.388,40</v>
      </c>
      <c r="P943" s="4"/>
    </row>
    <row r="944" spans="2:16" ht="63" x14ac:dyDescent="0.25">
      <c r="B944" s="2">
        <v>712</v>
      </c>
      <c r="C944" s="2" t="str">
        <f>"4-15/NOS-183/13"</f>
        <v>4-15/NOS-183/13</v>
      </c>
      <c r="D944" s="2" t="s">
        <v>85</v>
      </c>
      <c r="E944" s="2" t="s">
        <v>1250</v>
      </c>
      <c r="F944" s="2" t="s">
        <v>1292</v>
      </c>
      <c r="G944" s="2" t="str">
        <f>"4-15/NOS-183/13"</f>
        <v>4-15/NOS-183/13</v>
      </c>
      <c r="H944" s="2" t="str">
        <f t="shared" si="22"/>
        <v>Ugovor - narudžbenica (periodični predmet)</v>
      </c>
      <c r="I944" s="2" t="s">
        <v>19</v>
      </c>
      <c r="J944" s="3" t="str">
        <f>"30.875,00"</f>
        <v>30.875,00</v>
      </c>
      <c r="K944" s="2" t="s">
        <v>292</v>
      </c>
      <c r="L944" s="2" t="s">
        <v>1311</v>
      </c>
      <c r="M944" s="2" t="s">
        <v>1293</v>
      </c>
      <c r="N944" s="2" t="str">
        <f>"02.07.2015"</f>
        <v>02.07.2015</v>
      </c>
      <c r="O944" s="3" t="str">
        <f>"30.875,00"</f>
        <v>30.875,00</v>
      </c>
      <c r="P944" s="4"/>
    </row>
    <row r="945" spans="2:16" ht="63" x14ac:dyDescent="0.25">
      <c r="B945" s="2">
        <v>713</v>
      </c>
      <c r="C945" s="2" t="str">
        <f>"1-15/NOS-24/15"</f>
        <v>1-15/NOS-24/15</v>
      </c>
      <c r="D945" s="2" t="s">
        <v>1313</v>
      </c>
      <c r="E945" s="2" t="s">
        <v>1250</v>
      </c>
      <c r="F945" s="2" t="s">
        <v>305</v>
      </c>
      <c r="G945" s="2" t="str">
        <f>"1-15/NOS-24/15"</f>
        <v>1-15/NOS-24/15</v>
      </c>
      <c r="H945" s="2" t="str">
        <f t="shared" si="22"/>
        <v>Ugovor - narudžbenica (periodični predmet)</v>
      </c>
      <c r="I945" s="2" t="s">
        <v>19</v>
      </c>
      <c r="J945" s="3" t="str">
        <f>"335.446,70"</f>
        <v>335.446,70</v>
      </c>
      <c r="K945" s="2" t="s">
        <v>292</v>
      </c>
      <c r="L945" s="2" t="s">
        <v>1311</v>
      </c>
      <c r="M945" s="2" t="s">
        <v>218</v>
      </c>
      <c r="N945" s="2" t="str">
        <f>"24.09.2015"</f>
        <v>24.09.2015</v>
      </c>
      <c r="O945" s="3" t="str">
        <f>"307.641,90"</f>
        <v>307.641,90</v>
      </c>
      <c r="P945" s="4"/>
    </row>
    <row r="946" spans="2:16" ht="63" x14ac:dyDescent="0.25">
      <c r="B946" s="2">
        <v>714</v>
      </c>
      <c r="C946" s="2" t="str">
        <f>"5-15/NOS-210-A/13"</f>
        <v>5-15/NOS-210-A/13</v>
      </c>
      <c r="D946" s="2" t="s">
        <v>85</v>
      </c>
      <c r="E946" s="2" t="s">
        <v>1250</v>
      </c>
      <c r="F946" s="2" t="s">
        <v>1294</v>
      </c>
      <c r="G946" s="2" t="str">
        <f>"5-15/NOS-210-A/13"</f>
        <v>5-15/NOS-210-A/13</v>
      </c>
      <c r="H946" s="2" t="str">
        <f t="shared" si="22"/>
        <v>Ugovor - narudžbenica (periodični predmet)</v>
      </c>
      <c r="I946" s="2" t="s">
        <v>19</v>
      </c>
      <c r="J946" s="3" t="str">
        <f>"14.805,00"</f>
        <v>14.805,00</v>
      </c>
      <c r="K946" s="2" t="s">
        <v>762</v>
      </c>
      <c r="L946" s="2" t="s">
        <v>1311</v>
      </c>
      <c r="M946" s="2" t="s">
        <v>89</v>
      </c>
      <c r="N946" s="2" t="str">
        <f>"31.08.2015"</f>
        <v>31.08.2015</v>
      </c>
      <c r="O946" s="3" t="str">
        <f>"14.805,00"</f>
        <v>14.805,00</v>
      </c>
      <c r="P946" s="4"/>
    </row>
    <row r="947" spans="2:16" ht="63" x14ac:dyDescent="0.25">
      <c r="B947" s="2">
        <v>715</v>
      </c>
      <c r="C947" s="2" t="str">
        <f>"2-15/NOS-67/14"</f>
        <v>2-15/NOS-67/14</v>
      </c>
      <c r="D947" s="2" t="s">
        <v>16</v>
      </c>
      <c r="E947" s="2" t="s">
        <v>1250</v>
      </c>
      <c r="F947" s="2" t="s">
        <v>1314</v>
      </c>
      <c r="G947" s="2" t="str">
        <f>"2-15/NOS-67/14"</f>
        <v>2-15/NOS-67/14</v>
      </c>
      <c r="H947" s="2" t="str">
        <f t="shared" si="22"/>
        <v>Ugovor - narudžbenica (periodični predmet)</v>
      </c>
      <c r="I947" s="2" t="s">
        <v>19</v>
      </c>
      <c r="J947" s="3" t="str">
        <f>"9.105,80"</f>
        <v>9.105,80</v>
      </c>
      <c r="K947" s="2" t="s">
        <v>762</v>
      </c>
      <c r="L947" s="2" t="s">
        <v>1315</v>
      </c>
      <c r="M947" s="2" t="s">
        <v>44</v>
      </c>
      <c r="N947" s="2" t="str">
        <f>"23.06.2015"</f>
        <v>23.06.2015</v>
      </c>
      <c r="O947" s="3" t="str">
        <f>"9.062,92"</f>
        <v>9.062,92</v>
      </c>
      <c r="P947" s="4"/>
    </row>
    <row r="948" spans="2:16" ht="63" x14ac:dyDescent="0.25">
      <c r="B948" s="2">
        <v>716</v>
      </c>
      <c r="C948" s="2" t="str">
        <f>"22-15/NOS-29/12"</f>
        <v>22-15/NOS-29/12</v>
      </c>
      <c r="D948" s="2" t="s">
        <v>85</v>
      </c>
      <c r="E948" s="2" t="s">
        <v>1250</v>
      </c>
      <c r="F948" s="2" t="s">
        <v>1269</v>
      </c>
      <c r="G948" s="2" t="str">
        <f>"22-15/NOS-29/12"</f>
        <v>22-15/NOS-29/12</v>
      </c>
      <c r="H948" s="2" t="str">
        <f t="shared" si="22"/>
        <v>Ugovor - narudžbenica (periodični predmet)</v>
      </c>
      <c r="I948" s="2" t="s">
        <v>19</v>
      </c>
      <c r="J948" s="3" t="str">
        <f>"92.417,73"</f>
        <v>92.417,73</v>
      </c>
      <c r="K948" s="2" t="s">
        <v>762</v>
      </c>
      <c r="L948" s="2" t="s">
        <v>1315</v>
      </c>
      <c r="M948" s="2" t="s">
        <v>250</v>
      </c>
      <c r="N948" s="2" t="str">
        <f>"25.09.2015"</f>
        <v>25.09.2015</v>
      </c>
      <c r="O948" s="3" t="str">
        <f>"87.155,53"</f>
        <v>87.155,53</v>
      </c>
      <c r="P948" s="4"/>
    </row>
    <row r="949" spans="2:16" ht="63" x14ac:dyDescent="0.25">
      <c r="B949" s="2">
        <v>717</v>
      </c>
      <c r="C949" s="2" t="str">
        <f>"20-15/NOS-89/14"</f>
        <v>20-15/NOS-89/14</v>
      </c>
      <c r="D949" s="2" t="s">
        <v>28</v>
      </c>
      <c r="E949" s="2" t="s">
        <v>1250</v>
      </c>
      <c r="F949" s="2" t="s">
        <v>1277</v>
      </c>
      <c r="G949" s="2" t="str">
        <f>"20-15/NOS-89/14"</f>
        <v>20-15/NOS-89/14</v>
      </c>
      <c r="H949" s="2" t="str">
        <f t="shared" si="22"/>
        <v>Ugovor - narudžbenica (periodični predmet)</v>
      </c>
      <c r="I949" s="2" t="s">
        <v>19</v>
      </c>
      <c r="J949" s="3" t="str">
        <f>"6.439,38"</f>
        <v>6.439,38</v>
      </c>
      <c r="K949" s="2" t="s">
        <v>762</v>
      </c>
      <c r="L949" s="2" t="s">
        <v>1311</v>
      </c>
      <c r="M949" s="2" t="s">
        <v>868</v>
      </c>
      <c r="N949" s="2" t="str">
        <f>"18.09.2015"</f>
        <v>18.09.2015</v>
      </c>
      <c r="O949" s="3" t="str">
        <f>"6.072,18"</f>
        <v>6.072,18</v>
      </c>
      <c r="P949" s="4"/>
    </row>
    <row r="950" spans="2:16" ht="63" x14ac:dyDescent="0.25">
      <c r="B950" s="2">
        <v>718</v>
      </c>
      <c r="C950" s="2" t="str">
        <f>"69-15/NOS-103/13"</f>
        <v>69-15/NOS-103/13</v>
      </c>
      <c r="D950" s="2" t="s">
        <v>28</v>
      </c>
      <c r="E950" s="2" t="s">
        <v>1250</v>
      </c>
      <c r="F950" s="2" t="s">
        <v>543</v>
      </c>
      <c r="G950" s="2" t="str">
        <f>"69-15/NOS-103/13"</f>
        <v>69-15/NOS-103/13</v>
      </c>
      <c r="H950" s="2" t="str">
        <f t="shared" si="22"/>
        <v>Ugovor - narudžbenica (periodični predmet)</v>
      </c>
      <c r="I950" s="2" t="s">
        <v>19</v>
      </c>
      <c r="J950" s="3" t="str">
        <f>"6.491,50"</f>
        <v>6.491,50</v>
      </c>
      <c r="K950" s="2" t="s">
        <v>762</v>
      </c>
      <c r="L950" s="2" t="s">
        <v>1311</v>
      </c>
      <c r="M950" s="2" t="s">
        <v>544</v>
      </c>
      <c r="N950" s="2" t="str">
        <f>"30.09.2015"</f>
        <v>30.09.2015</v>
      </c>
      <c r="O950" s="3" t="str">
        <f>"5.471,50"</f>
        <v>5.471,50</v>
      </c>
      <c r="P950" s="4"/>
    </row>
    <row r="951" spans="2:16" ht="63" x14ac:dyDescent="0.25">
      <c r="B951" s="2">
        <v>719</v>
      </c>
      <c r="C951" s="2" t="str">
        <f>"2-15/NOS-118/14"</f>
        <v>2-15/NOS-118/14</v>
      </c>
      <c r="D951" s="2" t="s">
        <v>85</v>
      </c>
      <c r="E951" s="2" t="s">
        <v>1250</v>
      </c>
      <c r="F951" s="2" t="s">
        <v>86</v>
      </c>
      <c r="G951" s="2" t="str">
        <f>"2-15/NOS-118/14"</f>
        <v>2-15/NOS-118/14</v>
      </c>
      <c r="H951" s="2" t="str">
        <f t="shared" si="22"/>
        <v>Ugovor - narudžbenica (periodični predmet)</v>
      </c>
      <c r="I951" s="2" t="s">
        <v>19</v>
      </c>
      <c r="J951" s="3" t="str">
        <f>"499.778,00"</f>
        <v>499.778,00</v>
      </c>
      <c r="K951" s="2" t="s">
        <v>762</v>
      </c>
      <c r="L951" s="2" t="s">
        <v>1311</v>
      </c>
      <c r="M951" s="2" t="s">
        <v>90</v>
      </c>
      <c r="N951" s="2" t="str">
        <f>"13.01.2016"</f>
        <v>13.01.2016</v>
      </c>
      <c r="O951" s="3" t="str">
        <f>"495.132,00"</f>
        <v>495.132,00</v>
      </c>
      <c r="P951" s="4"/>
    </row>
    <row r="952" spans="2:16" ht="63" x14ac:dyDescent="0.25">
      <c r="B952" s="2">
        <v>720</v>
      </c>
      <c r="C952" s="2" t="str">
        <f>"1-15/NOS-121-B/14"</f>
        <v>1-15/NOS-121-B/14</v>
      </c>
      <c r="D952" s="2" t="s">
        <v>16</v>
      </c>
      <c r="E952" s="2" t="s">
        <v>1250</v>
      </c>
      <c r="F952" s="2" t="s">
        <v>1316</v>
      </c>
      <c r="G952" s="2" t="str">
        <f>"1-15/NOS-121-B/14"</f>
        <v>1-15/NOS-121-B/14</v>
      </c>
      <c r="H952" s="2" t="str">
        <f t="shared" si="22"/>
        <v>Ugovor - narudžbenica (periodični predmet)</v>
      </c>
      <c r="I952" s="2" t="s">
        <v>19</v>
      </c>
      <c r="J952" s="3" t="str">
        <f>"635.000,00"</f>
        <v>635.000,00</v>
      </c>
      <c r="K952" s="2" t="s">
        <v>256</v>
      </c>
      <c r="L952" s="2" t="s">
        <v>1317</v>
      </c>
      <c r="M952" s="2" t="s">
        <v>84</v>
      </c>
      <c r="N952" s="2" t="str">
        <f>"20.07.2015"</f>
        <v>20.07.2015</v>
      </c>
      <c r="O952" s="3" t="str">
        <f>"635.000,00"</f>
        <v>635.000,00</v>
      </c>
      <c r="P952" s="4"/>
    </row>
    <row r="953" spans="2:16" ht="63" x14ac:dyDescent="0.25">
      <c r="B953" s="2">
        <v>721</v>
      </c>
      <c r="C953" s="2" t="str">
        <f>"1-15/NOS-121-C/14"</f>
        <v>1-15/NOS-121-C/14</v>
      </c>
      <c r="D953" s="2" t="s">
        <v>16</v>
      </c>
      <c r="E953" s="2" t="s">
        <v>1250</v>
      </c>
      <c r="F953" s="2" t="s">
        <v>1316</v>
      </c>
      <c r="G953" s="2" t="str">
        <f>"1-15/NOS-121-C/14"</f>
        <v>1-15/NOS-121-C/14</v>
      </c>
      <c r="H953" s="2" t="str">
        <f t="shared" si="22"/>
        <v>Ugovor - narudžbenica (periodični predmet)</v>
      </c>
      <c r="I953" s="2" t="s">
        <v>19</v>
      </c>
      <c r="J953" s="3" t="str">
        <f>"1.604.238,48"</f>
        <v>1.604.238,48</v>
      </c>
      <c r="K953" s="2" t="s">
        <v>256</v>
      </c>
      <c r="L953" s="2" t="s">
        <v>1318</v>
      </c>
      <c r="M953" s="2" t="s">
        <v>599</v>
      </c>
      <c r="N953" s="2" t="str">
        <f>"10.06.2015"</f>
        <v>10.06.2015</v>
      </c>
      <c r="O953" s="3" t="str">
        <f>"1.604.238,48"</f>
        <v>1.604.238,48</v>
      </c>
      <c r="P953" s="4"/>
    </row>
    <row r="954" spans="2:16" ht="63" x14ac:dyDescent="0.25">
      <c r="B954" s="2">
        <v>722</v>
      </c>
      <c r="C954" s="2" t="str">
        <f>"2-15/NOS-121-C/14"</f>
        <v>2-15/NOS-121-C/14</v>
      </c>
      <c r="D954" s="2" t="s">
        <v>16</v>
      </c>
      <c r="E954" s="2" t="s">
        <v>1250</v>
      </c>
      <c r="F954" s="2" t="s">
        <v>1316</v>
      </c>
      <c r="G954" s="2" t="str">
        <f>"2-15/NOS-121-C/14"</f>
        <v>2-15/NOS-121-C/14</v>
      </c>
      <c r="H954" s="2" t="str">
        <f t="shared" si="22"/>
        <v>Ugovor - narudžbenica (periodični predmet)</v>
      </c>
      <c r="I954" s="2" t="s">
        <v>19</v>
      </c>
      <c r="J954" s="3" t="str">
        <f>"400.926,24"</f>
        <v>400.926,24</v>
      </c>
      <c r="K954" s="2" t="s">
        <v>256</v>
      </c>
      <c r="L954" s="2" t="s">
        <v>1318</v>
      </c>
      <c r="M954" s="2" t="s">
        <v>599</v>
      </c>
      <c r="N954" s="2" t="str">
        <f>"08.09.2015"</f>
        <v>08.09.2015</v>
      </c>
      <c r="O954" s="3" t="str">
        <f>"400.926,24"</f>
        <v>400.926,24</v>
      </c>
      <c r="P954" s="4"/>
    </row>
    <row r="955" spans="2:16" ht="78.75" x14ac:dyDescent="0.25">
      <c r="B955" s="2">
        <v>723</v>
      </c>
      <c r="C955" s="2" t="str">
        <f>"58-15/NOS-11-ZGH/14"</f>
        <v>58-15/NOS-11-ZGH/14</v>
      </c>
      <c r="D955" s="2" t="s">
        <v>76</v>
      </c>
      <c r="E955" s="2" t="s">
        <v>1250</v>
      </c>
      <c r="F955" s="2" t="s">
        <v>1278</v>
      </c>
      <c r="G955" s="2" t="str">
        <f>"58-15/NOS-11-ZGH/14"</f>
        <v>58-15/NOS-11-ZGH/14</v>
      </c>
      <c r="H955" s="2" t="str">
        <f t="shared" si="22"/>
        <v>Ugovor - narudžbenica (periodični predmet)</v>
      </c>
      <c r="I955" s="2" t="s">
        <v>19</v>
      </c>
      <c r="J955" s="3" t="str">
        <f>"39.868,55"</f>
        <v>39.868,55</v>
      </c>
      <c r="K955" s="2" t="s">
        <v>959</v>
      </c>
      <c r="L955" s="2" t="s">
        <v>1311</v>
      </c>
      <c r="M955" s="2" t="s">
        <v>711</v>
      </c>
      <c r="N955" s="2" t="str">
        <f>"21.07.2015"</f>
        <v>21.07.2015</v>
      </c>
      <c r="O955" s="3" t="str">
        <f>"39.868,55"</f>
        <v>39.868,55</v>
      </c>
      <c r="P955" s="4"/>
    </row>
    <row r="956" spans="2:16" s="19" customFormat="1" ht="47.25" x14ac:dyDescent="0.25">
      <c r="B956" s="44">
        <v>724</v>
      </c>
      <c r="C956" s="44" t="str">
        <f>"14-15/NOS-97/14"</f>
        <v>14-15/NOS-97/14</v>
      </c>
      <c r="D956" s="44" t="s">
        <v>28</v>
      </c>
      <c r="E956" s="44" t="s">
        <v>1250</v>
      </c>
      <c r="F956" s="44" t="s">
        <v>1285</v>
      </c>
      <c r="G956" s="44" t="str">
        <f>"14-15/NOS-97/14"</f>
        <v>14-15/NOS-97/14</v>
      </c>
      <c r="H956" s="44" t="str">
        <f t="shared" si="22"/>
        <v>Ugovor - narudžbenica (periodični predmet)</v>
      </c>
      <c r="I956" s="44" t="s">
        <v>19</v>
      </c>
      <c r="J956" s="42" t="str">
        <f>"31.970,30"</f>
        <v>31.970,30</v>
      </c>
      <c r="K956" s="44" t="s">
        <v>959</v>
      </c>
      <c r="L956" s="44" t="s">
        <v>1311</v>
      </c>
      <c r="M956" s="44" t="s">
        <v>164</v>
      </c>
      <c r="N956" s="44" t="str">
        <f>"23.09.2015"</f>
        <v>23.09.2015</v>
      </c>
      <c r="O956" s="42" t="str">
        <f>"33.161,49"</f>
        <v>33.161,49</v>
      </c>
      <c r="P956" s="25" t="s">
        <v>697</v>
      </c>
    </row>
    <row r="957" spans="2:16" s="19" customFormat="1" ht="47.25" x14ac:dyDescent="0.25">
      <c r="B957" s="47"/>
      <c r="C957" s="47"/>
      <c r="D957" s="47"/>
      <c r="E957" s="47"/>
      <c r="F957" s="47"/>
      <c r="G957" s="47"/>
      <c r="H957" s="47"/>
      <c r="I957" s="47"/>
      <c r="J957" s="46"/>
      <c r="K957" s="47"/>
      <c r="L957" s="47"/>
      <c r="M957" s="47"/>
      <c r="N957" s="47"/>
      <c r="O957" s="46"/>
      <c r="P957" s="27" t="s">
        <v>698</v>
      </c>
    </row>
    <row r="958" spans="2:16" s="19" customFormat="1" ht="63" x14ac:dyDescent="0.25">
      <c r="B958" s="45"/>
      <c r="C958" s="45"/>
      <c r="D958" s="45"/>
      <c r="E958" s="45"/>
      <c r="F958" s="45"/>
      <c r="G958" s="45"/>
      <c r="H958" s="45"/>
      <c r="I958" s="45"/>
      <c r="J958" s="43"/>
      <c r="K958" s="45"/>
      <c r="L958" s="45"/>
      <c r="M958" s="45"/>
      <c r="N958" s="45"/>
      <c r="O958" s="43"/>
      <c r="P958" s="26" t="s">
        <v>699</v>
      </c>
    </row>
    <row r="959" spans="2:16" s="15" customFormat="1" ht="63" x14ac:dyDescent="0.25">
      <c r="B959" s="12">
        <v>725</v>
      </c>
      <c r="C959" s="12" t="str">
        <f>"70-15/NOS-103/13"</f>
        <v>70-15/NOS-103/13</v>
      </c>
      <c r="D959" s="12" t="s">
        <v>16</v>
      </c>
      <c r="E959" s="12" t="s">
        <v>1250</v>
      </c>
      <c r="F959" s="12" t="s">
        <v>543</v>
      </c>
      <c r="G959" s="12" t="str">
        <f>"70-15/NOS-103/13"</f>
        <v>70-15/NOS-103/13</v>
      </c>
      <c r="H959" s="12" t="str">
        <f t="shared" ref="H959:H1004" si="23">"Ugovor - narudžbenica (periodični predmet)"</f>
        <v>Ugovor - narudžbenica (periodični predmet)</v>
      </c>
      <c r="I959" s="12" t="s">
        <v>19</v>
      </c>
      <c r="J959" s="13" t="str">
        <f>"17.088,00"</f>
        <v>17.088,00</v>
      </c>
      <c r="K959" s="12" t="s">
        <v>1319</v>
      </c>
      <c r="L959" s="12" t="s">
        <v>1315</v>
      </c>
      <c r="M959" s="12" t="s">
        <v>545</v>
      </c>
      <c r="N959" s="12" t="str">
        <f>"23.10.2015"</f>
        <v>23.10.2015</v>
      </c>
      <c r="O959" s="13" t="str">
        <f>"17.088,00"</f>
        <v>17.088,00</v>
      </c>
      <c r="P959" s="12"/>
    </row>
    <row r="960" spans="2:16" ht="63" x14ac:dyDescent="0.25">
      <c r="B960" s="2">
        <v>726</v>
      </c>
      <c r="C960" s="2" t="str">
        <f>"15-15/NOS-97/14"</f>
        <v>15-15/NOS-97/14</v>
      </c>
      <c r="D960" s="2" t="s">
        <v>16</v>
      </c>
      <c r="E960" s="2" t="s">
        <v>1250</v>
      </c>
      <c r="F960" s="2" t="s">
        <v>1285</v>
      </c>
      <c r="G960" s="2" t="str">
        <f>"15-15/NOS-97/14"</f>
        <v>15-15/NOS-97/14</v>
      </c>
      <c r="H960" s="2" t="str">
        <f t="shared" si="23"/>
        <v>Ugovor - narudžbenica (periodični predmet)</v>
      </c>
      <c r="I960" s="2" t="s">
        <v>19</v>
      </c>
      <c r="J960" s="3" t="str">
        <f>"9.574,76"</f>
        <v>9.574,76</v>
      </c>
      <c r="K960" s="2" t="s">
        <v>1319</v>
      </c>
      <c r="L960" s="2" t="s">
        <v>1315</v>
      </c>
      <c r="M960" s="2" t="s">
        <v>44</v>
      </c>
      <c r="N960" s="2" t="str">
        <f>"29.09.2015"</f>
        <v>29.09.2015</v>
      </c>
      <c r="O960" s="3" t="str">
        <f>"9.566,79"</f>
        <v>9.566,79</v>
      </c>
      <c r="P960" s="2"/>
    </row>
    <row r="961" spans="2:16" ht="63" x14ac:dyDescent="0.25">
      <c r="B961" s="2">
        <v>727</v>
      </c>
      <c r="C961" s="2" t="str">
        <f>"2-15/NOS-25/15"</f>
        <v>2-15/NOS-25/15</v>
      </c>
      <c r="D961" s="2" t="s">
        <v>16</v>
      </c>
      <c r="E961" s="2" t="s">
        <v>1250</v>
      </c>
      <c r="F961" s="2" t="s">
        <v>371</v>
      </c>
      <c r="G961" s="2" t="str">
        <f>"2-15/NOS-25/15"</f>
        <v>2-15/NOS-25/15</v>
      </c>
      <c r="H961" s="2" t="str">
        <f t="shared" si="23"/>
        <v>Ugovor - narudžbenica (periodični predmet)</v>
      </c>
      <c r="I961" s="2" t="s">
        <v>19</v>
      </c>
      <c r="J961" s="3" t="str">
        <f>"10.498,00"</f>
        <v>10.498,00</v>
      </c>
      <c r="K961" s="2" t="s">
        <v>1319</v>
      </c>
      <c r="L961" s="2" t="s">
        <v>1315</v>
      </c>
      <c r="M961" s="2" t="s">
        <v>50</v>
      </c>
      <c r="N961" s="2" t="str">
        <f>"16.06.2015"</f>
        <v>16.06.2015</v>
      </c>
      <c r="O961" s="3" t="str">
        <f>"10.079,00"</f>
        <v>10.079,00</v>
      </c>
      <c r="P961" s="4"/>
    </row>
    <row r="962" spans="2:16" ht="63" x14ac:dyDescent="0.25">
      <c r="B962" s="2">
        <v>728</v>
      </c>
      <c r="C962" s="2" t="str">
        <f>"3-15/NOS-112/14"</f>
        <v>3-15/NOS-112/14</v>
      </c>
      <c r="D962" s="2" t="s">
        <v>16</v>
      </c>
      <c r="E962" s="2" t="s">
        <v>1250</v>
      </c>
      <c r="F962" s="2" t="s">
        <v>77</v>
      </c>
      <c r="G962" s="2" t="str">
        <f>"3-15/NOS-112/14"</f>
        <v>3-15/NOS-112/14</v>
      </c>
      <c r="H962" s="2" t="str">
        <f t="shared" si="23"/>
        <v>Ugovor - narudžbenica (periodični predmet)</v>
      </c>
      <c r="I962" s="2" t="s">
        <v>19</v>
      </c>
      <c r="J962" s="3" t="str">
        <f>"9.100,00"</f>
        <v>9.100,00</v>
      </c>
      <c r="K962" s="2" t="s">
        <v>1319</v>
      </c>
      <c r="L962" s="2" t="s">
        <v>1311</v>
      </c>
      <c r="M962" s="2" t="s">
        <v>80</v>
      </c>
      <c r="N962" s="2" t="str">
        <f>"18.06.2015"</f>
        <v>18.06.2015</v>
      </c>
      <c r="O962" s="3" t="str">
        <f>"9.100,00"</f>
        <v>9.100,00</v>
      </c>
      <c r="P962" s="4"/>
    </row>
    <row r="963" spans="2:16" ht="63" x14ac:dyDescent="0.25">
      <c r="B963" s="2">
        <v>729</v>
      </c>
      <c r="C963" s="2" t="str">
        <f>"3-15/NOS-121-C/14"</f>
        <v>3-15/NOS-121-C/14</v>
      </c>
      <c r="D963" s="2" t="s">
        <v>16</v>
      </c>
      <c r="E963" s="2" t="s">
        <v>1250</v>
      </c>
      <c r="F963" s="2" t="s">
        <v>1316</v>
      </c>
      <c r="G963" s="2" t="str">
        <f>"3-15/NOS-121-C/14"</f>
        <v>3-15/NOS-121-C/14</v>
      </c>
      <c r="H963" s="2" t="str">
        <f t="shared" si="23"/>
        <v>Ugovor - narudžbenica (periodični predmet)</v>
      </c>
      <c r="I963" s="2" t="s">
        <v>19</v>
      </c>
      <c r="J963" s="3" t="str">
        <f>"155.844,00"</f>
        <v>155.844,00</v>
      </c>
      <c r="K963" s="2" t="s">
        <v>158</v>
      </c>
      <c r="L963" s="2" t="s">
        <v>1318</v>
      </c>
      <c r="M963" s="2" t="s">
        <v>599</v>
      </c>
      <c r="N963" s="2" t="str">
        <f>"14.07.2015"</f>
        <v>14.07.2015</v>
      </c>
      <c r="O963" s="3" t="str">
        <f>"155.844,00"</f>
        <v>155.844,00</v>
      </c>
      <c r="P963" s="4"/>
    </row>
    <row r="964" spans="2:16" s="15" customFormat="1" ht="63" x14ac:dyDescent="0.25">
      <c r="B964" s="12">
        <v>730</v>
      </c>
      <c r="C964" s="12" t="str">
        <f>"1-15/NOS-14/15"</f>
        <v>1-15/NOS-14/15</v>
      </c>
      <c r="D964" s="12" t="s">
        <v>16</v>
      </c>
      <c r="E964" s="12" t="s">
        <v>1250</v>
      </c>
      <c r="F964" s="12" t="s">
        <v>324</v>
      </c>
      <c r="G964" s="12" t="str">
        <f>"1-15/NOS-14/15"</f>
        <v>1-15/NOS-14/15</v>
      </c>
      <c r="H964" s="12" t="str">
        <f t="shared" si="23"/>
        <v>Ugovor - narudžbenica (periodični predmet)</v>
      </c>
      <c r="I964" s="12" t="s">
        <v>19</v>
      </c>
      <c r="J964" s="13" t="str">
        <f>"149.980,00"</f>
        <v>149.980,00</v>
      </c>
      <c r="K964" s="12" t="s">
        <v>158</v>
      </c>
      <c r="L964" s="12" t="s">
        <v>1311</v>
      </c>
      <c r="M964" s="12" t="s">
        <v>138</v>
      </c>
      <c r="N964" s="12" t="s">
        <v>798</v>
      </c>
      <c r="O964" s="22">
        <v>149971.66</v>
      </c>
      <c r="P964" s="14"/>
    </row>
    <row r="965" spans="2:16" ht="63" x14ac:dyDescent="0.25">
      <c r="B965" s="2">
        <v>731</v>
      </c>
      <c r="C965" s="2" t="str">
        <f>"15-15/NOS-67/13"</f>
        <v>15-15/NOS-67/13</v>
      </c>
      <c r="D965" s="2" t="s">
        <v>16</v>
      </c>
      <c r="E965" s="2" t="s">
        <v>1250</v>
      </c>
      <c r="F965" s="2" t="s">
        <v>255</v>
      </c>
      <c r="G965" s="2" t="str">
        <f>"15-15/NOS-67/13"</f>
        <v>15-15/NOS-67/13</v>
      </c>
      <c r="H965" s="2" t="str">
        <f t="shared" si="23"/>
        <v>Ugovor - narudžbenica (periodični predmet)</v>
      </c>
      <c r="I965" s="2" t="s">
        <v>19</v>
      </c>
      <c r="J965" s="3" t="str">
        <f>"14.450,00"</f>
        <v>14.450,00</v>
      </c>
      <c r="K965" s="2" t="s">
        <v>962</v>
      </c>
      <c r="L965" s="2" t="s">
        <v>1318</v>
      </c>
      <c r="M965" s="2" t="s">
        <v>184</v>
      </c>
      <c r="N965" s="2" t="str">
        <f>"20.07.2015"</f>
        <v>20.07.2015</v>
      </c>
      <c r="O965" s="3" t="str">
        <f>"14.450,00"</f>
        <v>14.450,00</v>
      </c>
      <c r="P965" s="4"/>
    </row>
    <row r="966" spans="2:16" ht="63" x14ac:dyDescent="0.25">
      <c r="B966" s="2">
        <v>732</v>
      </c>
      <c r="C966" s="2" t="str">
        <f>"23-15/NOS-29/12"</f>
        <v>23-15/NOS-29/12</v>
      </c>
      <c r="D966" s="2" t="s">
        <v>85</v>
      </c>
      <c r="E966" s="2" t="s">
        <v>1250</v>
      </c>
      <c r="F966" s="2" t="s">
        <v>1269</v>
      </c>
      <c r="G966" s="2" t="str">
        <f>"23-15/NOS-29/12"</f>
        <v>23-15/NOS-29/12</v>
      </c>
      <c r="H966" s="2" t="str">
        <f t="shared" si="23"/>
        <v>Ugovor - narudžbenica (periodični predmet)</v>
      </c>
      <c r="I966" s="2" t="s">
        <v>19</v>
      </c>
      <c r="J966" s="3" t="str">
        <f>"35.448,50"</f>
        <v>35.448,50</v>
      </c>
      <c r="K966" s="2" t="s">
        <v>1320</v>
      </c>
      <c r="L966" s="2" t="s">
        <v>987</v>
      </c>
      <c r="M966" s="2" t="s">
        <v>1299</v>
      </c>
      <c r="N966" s="2" t="str">
        <f>"21.08.2015"</f>
        <v>21.08.2015</v>
      </c>
      <c r="O966" s="3" t="str">
        <f>"35.448,50"</f>
        <v>35.448,50</v>
      </c>
      <c r="P966" s="4"/>
    </row>
    <row r="967" spans="2:16" ht="63" x14ac:dyDescent="0.25">
      <c r="B967" s="2">
        <v>733</v>
      </c>
      <c r="C967" s="2" t="str">
        <f>"30-15/NOS-53-ZGH/14"</f>
        <v>30-15/NOS-53-ZGH/14</v>
      </c>
      <c r="D967" s="2" t="s">
        <v>28</v>
      </c>
      <c r="E967" s="2" t="s">
        <v>1250</v>
      </c>
      <c r="F967" s="2" t="s">
        <v>1272</v>
      </c>
      <c r="G967" s="2" t="str">
        <f>"30-15/NOS-53-ZGH/14"</f>
        <v>30-15/NOS-53-ZGH/14</v>
      </c>
      <c r="H967" s="2" t="str">
        <f t="shared" si="23"/>
        <v>Ugovor - narudžbenica (periodični predmet)</v>
      </c>
      <c r="I967" s="2" t="s">
        <v>19</v>
      </c>
      <c r="J967" s="3" t="str">
        <f>"34.298,30"</f>
        <v>34.298,30</v>
      </c>
      <c r="K967" s="2" t="s">
        <v>1320</v>
      </c>
      <c r="L967" s="2" t="s">
        <v>696</v>
      </c>
      <c r="M967" s="2" t="s">
        <v>1097</v>
      </c>
      <c r="N967" s="2" t="str">
        <f>"16.07.2015"</f>
        <v>16.07.2015</v>
      </c>
      <c r="O967" s="3" t="str">
        <f>"34.298,30"</f>
        <v>34.298,30</v>
      </c>
      <c r="P967" s="4"/>
    </row>
    <row r="968" spans="2:16" ht="63" x14ac:dyDescent="0.25">
      <c r="B968" s="2">
        <v>734</v>
      </c>
      <c r="C968" s="2" t="str">
        <f>"59-15/NOS-11-ZGH/14"</f>
        <v>59-15/NOS-11-ZGH/14</v>
      </c>
      <c r="D968" s="2" t="s">
        <v>242</v>
      </c>
      <c r="E968" s="2" t="s">
        <v>1250</v>
      </c>
      <c r="F968" s="2" t="s">
        <v>1278</v>
      </c>
      <c r="G968" s="2" t="str">
        <f>"59-15/NOS-11-ZGH/14"</f>
        <v>59-15/NOS-11-ZGH/14</v>
      </c>
      <c r="H968" s="2" t="str">
        <f t="shared" si="23"/>
        <v>Ugovor - narudžbenica (periodični predmet)</v>
      </c>
      <c r="I968" s="2" t="s">
        <v>19</v>
      </c>
      <c r="J968" s="3" t="str">
        <f>"5.704,00"</f>
        <v>5.704,00</v>
      </c>
      <c r="K968" s="2" t="s">
        <v>1320</v>
      </c>
      <c r="L968" s="2" t="s">
        <v>1315</v>
      </c>
      <c r="M968" s="2" t="s">
        <v>836</v>
      </c>
      <c r="N968" s="2" t="str">
        <f>"23.07.2015"</f>
        <v>23.07.2015</v>
      </c>
      <c r="O968" s="3" t="str">
        <f>"5.704,00"</f>
        <v>5.704,00</v>
      </c>
      <c r="P968" s="4"/>
    </row>
    <row r="969" spans="2:16" ht="63" x14ac:dyDescent="0.25">
      <c r="B969" s="2">
        <v>735</v>
      </c>
      <c r="C969" s="2" t="str">
        <f>"2-15/NOS-121-B/14"</f>
        <v>2-15/NOS-121-B/14</v>
      </c>
      <c r="D969" s="2" t="s">
        <v>16</v>
      </c>
      <c r="E969" s="2" t="s">
        <v>1250</v>
      </c>
      <c r="F969" s="2" t="s">
        <v>1316</v>
      </c>
      <c r="G969" s="2" t="str">
        <f>"2-15/NOS-121-B/14"</f>
        <v>2-15/NOS-121-B/14</v>
      </c>
      <c r="H969" s="2" t="str">
        <f t="shared" si="23"/>
        <v>Ugovor - narudžbenica (periodični predmet)</v>
      </c>
      <c r="I969" s="2" t="s">
        <v>19</v>
      </c>
      <c r="J969" s="3" t="str">
        <f>"96.600,00"</f>
        <v>96.600,00</v>
      </c>
      <c r="K969" s="2" t="s">
        <v>1321</v>
      </c>
      <c r="L969" s="2" t="s">
        <v>696</v>
      </c>
      <c r="M969" s="2" t="s">
        <v>84</v>
      </c>
      <c r="N969" s="2" t="str">
        <f>"07.08.2015"</f>
        <v>07.08.2015</v>
      </c>
      <c r="O969" s="3" t="str">
        <f>"77.000,00"</f>
        <v>77.000,00</v>
      </c>
      <c r="P969" s="4"/>
    </row>
    <row r="970" spans="2:16" ht="63" x14ac:dyDescent="0.25">
      <c r="B970" s="2">
        <v>736</v>
      </c>
      <c r="C970" s="2" t="str">
        <f>"4-15/NOS-121-C/14"</f>
        <v>4-15/NOS-121-C/14</v>
      </c>
      <c r="D970" s="2" t="s">
        <v>28</v>
      </c>
      <c r="E970" s="2" t="s">
        <v>1250</v>
      </c>
      <c r="F970" s="2" t="s">
        <v>1316</v>
      </c>
      <c r="G970" s="2" t="str">
        <f>"4-15/NOS-121-C/14"</f>
        <v>4-15/NOS-121-C/14</v>
      </c>
      <c r="H970" s="2" t="str">
        <f t="shared" si="23"/>
        <v>Ugovor - narudžbenica (periodični predmet)</v>
      </c>
      <c r="I970" s="2" t="s">
        <v>19</v>
      </c>
      <c r="J970" s="3" t="str">
        <f>"1.191.799,44"</f>
        <v>1.191.799,44</v>
      </c>
      <c r="K970" s="2" t="s">
        <v>1321</v>
      </c>
      <c r="L970" s="2" t="s">
        <v>195</v>
      </c>
      <c r="M970" s="2" t="s">
        <v>599</v>
      </c>
      <c r="N970" s="2" t="str">
        <f>"30.12.2015"</f>
        <v>30.12.2015</v>
      </c>
      <c r="O970" s="3" t="str">
        <f>"1.191.799,44"</f>
        <v>1.191.799,44</v>
      </c>
      <c r="P970" s="4"/>
    </row>
    <row r="971" spans="2:16" ht="63" x14ac:dyDescent="0.25">
      <c r="B971" s="2">
        <v>737</v>
      </c>
      <c r="C971" s="2" t="str">
        <f>"1-15/NOS-122/14"</f>
        <v>1-15/NOS-122/14</v>
      </c>
      <c r="D971" s="2" t="s">
        <v>16</v>
      </c>
      <c r="E971" s="2" t="s">
        <v>1250</v>
      </c>
      <c r="F971" s="2" t="s">
        <v>58</v>
      </c>
      <c r="G971" s="2" t="str">
        <f>"1-15/NOS-122/14"</f>
        <v>1-15/NOS-122/14</v>
      </c>
      <c r="H971" s="2" t="str">
        <f t="shared" si="23"/>
        <v>Ugovor - narudžbenica (periodični predmet)</v>
      </c>
      <c r="I971" s="2" t="s">
        <v>19</v>
      </c>
      <c r="J971" s="3" t="str">
        <f>"44.695,39"</f>
        <v>44.695,39</v>
      </c>
      <c r="K971" s="2" t="s">
        <v>1322</v>
      </c>
      <c r="L971" s="2" t="s">
        <v>696</v>
      </c>
      <c r="M971" s="2" t="s">
        <v>65</v>
      </c>
      <c r="N971" s="2" t="str">
        <f>"28.09.2015"</f>
        <v>28.09.2015</v>
      </c>
      <c r="O971" s="3" t="str">
        <f>"44.659,39"</f>
        <v>44.659,39</v>
      </c>
      <c r="P971" s="4"/>
    </row>
    <row r="972" spans="2:16" ht="63" x14ac:dyDescent="0.25">
      <c r="B972" s="2">
        <v>738</v>
      </c>
      <c r="C972" s="2" t="str">
        <f>"3-15/NOS-70/14"</f>
        <v>3-15/NOS-70/14</v>
      </c>
      <c r="D972" s="2" t="s">
        <v>16</v>
      </c>
      <c r="E972" s="2" t="s">
        <v>1250</v>
      </c>
      <c r="F972" s="2" t="s">
        <v>1287</v>
      </c>
      <c r="G972" s="2" t="str">
        <f>"3-15/NOS-70/14"</f>
        <v>3-15/NOS-70/14</v>
      </c>
      <c r="H972" s="2" t="str">
        <f t="shared" si="23"/>
        <v>Ugovor - narudžbenica (periodični predmet)</v>
      </c>
      <c r="I972" s="2" t="s">
        <v>19</v>
      </c>
      <c r="J972" s="3" t="str">
        <f>"32.820,00"</f>
        <v>32.820,00</v>
      </c>
      <c r="K972" s="2" t="s">
        <v>1322</v>
      </c>
      <c r="L972" s="2" t="s">
        <v>195</v>
      </c>
      <c r="M972" s="2" t="s">
        <v>1288</v>
      </c>
      <c r="N972" s="2" t="str">
        <f>"02.12.2015"</f>
        <v>02.12.2015</v>
      </c>
      <c r="O972" s="3" t="str">
        <f>"27.805,00"</f>
        <v>27.805,00</v>
      </c>
      <c r="P972" s="4"/>
    </row>
    <row r="973" spans="2:16" ht="78.75" x14ac:dyDescent="0.25">
      <c r="B973" s="2">
        <v>739</v>
      </c>
      <c r="C973" s="2" t="str">
        <f>"3-15/NOS-24/15"</f>
        <v>3-15/NOS-24/15</v>
      </c>
      <c r="D973" s="2" t="s">
        <v>1302</v>
      </c>
      <c r="E973" s="2" t="s">
        <v>1250</v>
      </c>
      <c r="F973" s="2" t="s">
        <v>305</v>
      </c>
      <c r="G973" s="2" t="str">
        <f>"3-15/NOS-24/15"</f>
        <v>3-15/NOS-24/15</v>
      </c>
      <c r="H973" s="2" t="str">
        <f t="shared" si="23"/>
        <v>Ugovor - narudžbenica (periodični predmet)</v>
      </c>
      <c r="I973" s="2" t="s">
        <v>19</v>
      </c>
      <c r="J973" s="3" t="str">
        <f>"626.461,25"</f>
        <v>626.461,25</v>
      </c>
      <c r="K973" s="2" t="s">
        <v>1322</v>
      </c>
      <c r="L973" s="2" t="s">
        <v>696</v>
      </c>
      <c r="M973" s="2" t="s">
        <v>218</v>
      </c>
      <c r="N973" s="2" t="str">
        <f>"28.10.2015"</f>
        <v>28.10.2015</v>
      </c>
      <c r="O973" s="3" t="str">
        <f>"489.592,25"</f>
        <v>489.592,25</v>
      </c>
      <c r="P973" s="2"/>
    </row>
    <row r="974" spans="2:16" ht="63" x14ac:dyDescent="0.25">
      <c r="B974" s="2">
        <v>740</v>
      </c>
      <c r="C974" s="2" t="str">
        <f>"13-15/NOS-83/14"</f>
        <v>13-15/NOS-83/14</v>
      </c>
      <c r="D974" s="2" t="s">
        <v>28</v>
      </c>
      <c r="E974" s="2" t="s">
        <v>1250</v>
      </c>
      <c r="F974" s="2" t="s">
        <v>1273</v>
      </c>
      <c r="G974" s="2" t="str">
        <f>"13-15/NOS-83/14"</f>
        <v>13-15/NOS-83/14</v>
      </c>
      <c r="H974" s="2" t="str">
        <f t="shared" si="23"/>
        <v>Ugovor - narudžbenica (periodični predmet)</v>
      </c>
      <c r="I974" s="2" t="s">
        <v>19</v>
      </c>
      <c r="J974" s="3" t="str">
        <f>"153.228,00"</f>
        <v>153.228,00</v>
      </c>
      <c r="K974" s="2" t="s">
        <v>1322</v>
      </c>
      <c r="L974" s="2" t="s">
        <v>195</v>
      </c>
      <c r="M974" s="2" t="s">
        <v>754</v>
      </c>
      <c r="N974" s="2" t="str">
        <f>"10.08.2015"</f>
        <v>10.08.2015</v>
      </c>
      <c r="O974" s="3" t="str">
        <f>"151.868,00"</f>
        <v>151.868,00</v>
      </c>
      <c r="P974" s="4"/>
    </row>
    <row r="975" spans="2:16" ht="63" x14ac:dyDescent="0.25">
      <c r="B975" s="2">
        <v>741</v>
      </c>
      <c r="C975" s="2" t="str">
        <f>"7-15/NOS-90/14"</f>
        <v>7-15/NOS-90/14</v>
      </c>
      <c r="D975" s="2" t="s">
        <v>16</v>
      </c>
      <c r="E975" s="2" t="s">
        <v>1250</v>
      </c>
      <c r="F975" s="2" t="s">
        <v>1274</v>
      </c>
      <c r="G975" s="2" t="str">
        <f>"7-15/NOS-90/14"</f>
        <v>7-15/NOS-90/14</v>
      </c>
      <c r="H975" s="2" t="str">
        <f t="shared" si="23"/>
        <v>Ugovor - narudžbenica (periodični predmet)</v>
      </c>
      <c r="I975" s="2" t="s">
        <v>19</v>
      </c>
      <c r="J975" s="3" t="str">
        <f>"8.074,00"</f>
        <v>8.074,00</v>
      </c>
      <c r="K975" s="2" t="s">
        <v>1322</v>
      </c>
      <c r="L975" s="2" t="s">
        <v>696</v>
      </c>
      <c r="M975" s="2" t="s">
        <v>419</v>
      </c>
      <c r="N975" s="2" t="str">
        <f>"01.07.2015"</f>
        <v>01.07.2015</v>
      </c>
      <c r="O975" s="3" t="str">
        <f>"6.464,00"</f>
        <v>6.464,00</v>
      </c>
      <c r="P975" s="4"/>
    </row>
    <row r="976" spans="2:16" ht="63" x14ac:dyDescent="0.25">
      <c r="B976" s="2">
        <v>742</v>
      </c>
      <c r="C976" s="2" t="str">
        <f>"5-15/NOS-99/14"</f>
        <v>5-15/NOS-99/14</v>
      </c>
      <c r="D976" s="2" t="s">
        <v>16</v>
      </c>
      <c r="E976" s="2" t="s">
        <v>1250</v>
      </c>
      <c r="F976" s="2" t="s">
        <v>31</v>
      </c>
      <c r="G976" s="2" t="str">
        <f>"5-15/NOS-99/14"</f>
        <v>5-15/NOS-99/14</v>
      </c>
      <c r="H976" s="2" t="str">
        <f t="shared" si="23"/>
        <v>Ugovor - narudžbenica (periodični predmet)</v>
      </c>
      <c r="I976" s="2" t="s">
        <v>19</v>
      </c>
      <c r="J976" s="3" t="str">
        <f>"1.442,70"</f>
        <v>1.442,70</v>
      </c>
      <c r="K976" s="2" t="s">
        <v>1322</v>
      </c>
      <c r="L976" s="2" t="s">
        <v>195</v>
      </c>
      <c r="M976" s="2" t="s">
        <v>34</v>
      </c>
      <c r="N976" s="2" t="str">
        <f>"31.07.2015"</f>
        <v>31.07.2015</v>
      </c>
      <c r="O976" s="3" t="str">
        <f>"1.442,70"</f>
        <v>1.442,70</v>
      </c>
      <c r="P976" s="4"/>
    </row>
    <row r="977" spans="2:16" ht="63" x14ac:dyDescent="0.25">
      <c r="B977" s="2">
        <v>743</v>
      </c>
      <c r="C977" s="2" t="str">
        <f>"71-15/NOS-103/13"</f>
        <v>71-15/NOS-103/13</v>
      </c>
      <c r="D977" s="2" t="s">
        <v>16</v>
      </c>
      <c r="E977" s="2" t="s">
        <v>1250</v>
      </c>
      <c r="F977" s="2" t="s">
        <v>543</v>
      </c>
      <c r="G977" s="2" t="str">
        <f>"71-15/NOS-103/13"</f>
        <v>71-15/NOS-103/13</v>
      </c>
      <c r="H977" s="2" t="str">
        <f t="shared" si="23"/>
        <v>Ugovor - narudžbenica (periodični predmet)</v>
      </c>
      <c r="I977" s="2" t="s">
        <v>19</v>
      </c>
      <c r="J977" s="3" t="str">
        <f>"21.997,40"</f>
        <v>21.997,40</v>
      </c>
      <c r="K977" s="2" t="s">
        <v>1322</v>
      </c>
      <c r="L977" s="2" t="s">
        <v>195</v>
      </c>
      <c r="M977" s="2" t="s">
        <v>544</v>
      </c>
      <c r="N977" s="2" t="str">
        <f>"14.10.2015"</f>
        <v>14.10.2015</v>
      </c>
      <c r="O977" s="3" t="str">
        <f>"7.056,00"</f>
        <v>7.056,00</v>
      </c>
      <c r="P977" s="4"/>
    </row>
    <row r="978" spans="2:16" ht="63" x14ac:dyDescent="0.25">
      <c r="B978" s="2">
        <v>744</v>
      </c>
      <c r="C978" s="2" t="str">
        <f>"1-15/NOS-107/14"</f>
        <v>1-15/NOS-107/14</v>
      </c>
      <c r="D978" s="2" t="s">
        <v>16</v>
      </c>
      <c r="E978" s="2" t="s">
        <v>1250</v>
      </c>
      <c r="F978" s="2" t="s">
        <v>29</v>
      </c>
      <c r="G978" s="2" t="str">
        <f>"1-15/NOS-107/14"</f>
        <v>1-15/NOS-107/14</v>
      </c>
      <c r="H978" s="2" t="str">
        <f t="shared" si="23"/>
        <v>Ugovor - narudžbenica (periodični predmet)</v>
      </c>
      <c r="I978" s="2" t="s">
        <v>19</v>
      </c>
      <c r="J978" s="3" t="str">
        <f>"34.000,00"</f>
        <v>34.000,00</v>
      </c>
      <c r="K978" s="2" t="s">
        <v>1322</v>
      </c>
      <c r="L978" s="2" t="s">
        <v>696</v>
      </c>
      <c r="M978" s="2" t="s">
        <v>30</v>
      </c>
      <c r="N978" s="2" t="str">
        <f>"14.01.2016"</f>
        <v>14.01.2016</v>
      </c>
      <c r="O978" s="3" t="str">
        <f>"13.700,00"</f>
        <v>13.700,00</v>
      </c>
      <c r="P978" s="4"/>
    </row>
    <row r="979" spans="2:16" ht="63" x14ac:dyDescent="0.25">
      <c r="B979" s="2">
        <v>745</v>
      </c>
      <c r="C979" s="2" t="str">
        <f>"33-15/NOS-109/13"</f>
        <v>33-15/NOS-109/13</v>
      </c>
      <c r="D979" s="2" t="s">
        <v>16</v>
      </c>
      <c r="E979" s="2" t="s">
        <v>1250</v>
      </c>
      <c r="F979" s="2" t="s">
        <v>1312</v>
      </c>
      <c r="G979" s="2" t="str">
        <f>"33-15/NOS-109/13"</f>
        <v>33-15/NOS-109/13</v>
      </c>
      <c r="H979" s="2" t="str">
        <f t="shared" si="23"/>
        <v>Ugovor - narudžbenica (periodični predmet)</v>
      </c>
      <c r="I979" s="2" t="s">
        <v>19</v>
      </c>
      <c r="J979" s="3" t="str">
        <f>"7.193,60"</f>
        <v>7.193,60</v>
      </c>
      <c r="K979" s="2" t="s">
        <v>1322</v>
      </c>
      <c r="L979" s="2" t="s">
        <v>195</v>
      </c>
      <c r="M979" s="2" t="s">
        <v>44</v>
      </c>
      <c r="N979" s="2" t="str">
        <f>"28.10.2015"</f>
        <v>28.10.2015</v>
      </c>
      <c r="O979" s="3" t="str">
        <f>"7.193,60"</f>
        <v>7.193,60</v>
      </c>
      <c r="P979" s="4"/>
    </row>
    <row r="980" spans="2:16" ht="63" x14ac:dyDescent="0.25">
      <c r="B980" s="2">
        <v>746</v>
      </c>
      <c r="C980" s="2" t="str">
        <f>"7-15/NOS-108/14"</f>
        <v>7-15/NOS-108/14</v>
      </c>
      <c r="D980" s="2" t="s">
        <v>16</v>
      </c>
      <c r="E980" s="2" t="s">
        <v>1250</v>
      </c>
      <c r="F980" s="2" t="s">
        <v>41</v>
      </c>
      <c r="G980" s="2" t="str">
        <f>"7-15/NOS-108/14"</f>
        <v>7-15/NOS-108/14</v>
      </c>
      <c r="H980" s="2" t="str">
        <f t="shared" si="23"/>
        <v>Ugovor - narudžbenica (periodični predmet)</v>
      </c>
      <c r="I980" s="2" t="s">
        <v>19</v>
      </c>
      <c r="J980" s="3" t="str">
        <f>"12.972,60"</f>
        <v>12.972,60</v>
      </c>
      <c r="K980" s="2" t="s">
        <v>1322</v>
      </c>
      <c r="L980" s="2" t="s">
        <v>195</v>
      </c>
      <c r="M980" s="2" t="s">
        <v>46</v>
      </c>
      <c r="N980" s="2" t="str">
        <f>"02.07.2015"</f>
        <v>02.07.2015</v>
      </c>
      <c r="O980" s="3" t="str">
        <f>"10.132,60"</f>
        <v>10.132,60</v>
      </c>
      <c r="P980" s="4"/>
    </row>
    <row r="981" spans="2:16" ht="78.75" x14ac:dyDescent="0.25">
      <c r="B981" s="2">
        <v>747</v>
      </c>
      <c r="C981" s="2" t="str">
        <f>"6-15/NOS-218/13"</f>
        <v>6-15/NOS-218/13</v>
      </c>
      <c r="D981" s="2" t="s">
        <v>16</v>
      </c>
      <c r="E981" s="2" t="s">
        <v>1250</v>
      </c>
      <c r="F981" s="2" t="s">
        <v>1270</v>
      </c>
      <c r="G981" s="2" t="str">
        <f>"6-15/NOS-218/13"</f>
        <v>6-15/NOS-218/13</v>
      </c>
      <c r="H981" s="2" t="str">
        <f t="shared" si="23"/>
        <v>Ugovor - narudžbenica (periodični predmet)</v>
      </c>
      <c r="I981" s="2" t="s">
        <v>19</v>
      </c>
      <c r="J981" s="3" t="str">
        <f>"9.094,00"</f>
        <v>9.094,00</v>
      </c>
      <c r="K981" s="2" t="s">
        <v>1322</v>
      </c>
      <c r="L981" s="2" t="s">
        <v>696</v>
      </c>
      <c r="M981" s="2" t="s">
        <v>920</v>
      </c>
      <c r="N981" s="2" t="str">
        <f>"17.09.2015"</f>
        <v>17.09.2015</v>
      </c>
      <c r="O981" s="3" t="str">
        <f>"9.094,00"</f>
        <v>9.094,00</v>
      </c>
      <c r="P981" s="4"/>
    </row>
    <row r="982" spans="2:16" ht="63" x14ac:dyDescent="0.25">
      <c r="B982" s="2">
        <v>748</v>
      </c>
      <c r="C982" s="2" t="str">
        <f>"7-15/NOS-100-A-ZGH/14"</f>
        <v>7-15/NOS-100-A-ZGH/14</v>
      </c>
      <c r="D982" s="2" t="s">
        <v>362</v>
      </c>
      <c r="E982" s="2" t="s">
        <v>1250</v>
      </c>
      <c r="F982" s="2" t="s">
        <v>1301</v>
      </c>
      <c r="G982" s="2" t="str">
        <f>"7-15/NOS-100-A-ZGH/14"</f>
        <v>7-15/NOS-100-A-ZGH/14</v>
      </c>
      <c r="H982" s="2" t="str">
        <f t="shared" si="23"/>
        <v>Ugovor - narudžbenica (periodični predmet)</v>
      </c>
      <c r="I982" s="2" t="s">
        <v>19</v>
      </c>
      <c r="J982" s="3" t="str">
        <f>"1.289.454,51"</f>
        <v>1.289.454,51</v>
      </c>
      <c r="K982" s="2" t="s">
        <v>1323</v>
      </c>
      <c r="L982" s="2" t="s">
        <v>714</v>
      </c>
      <c r="M982" s="2" t="s">
        <v>382</v>
      </c>
      <c r="N982" s="2" t="str">
        <f>"16.07.2015"</f>
        <v>16.07.2015</v>
      </c>
      <c r="O982" s="3" t="str">
        <f>"1.261.720,76"</f>
        <v>1.261.720,76</v>
      </c>
      <c r="P982" s="4"/>
    </row>
    <row r="983" spans="2:16" ht="63" x14ac:dyDescent="0.25">
      <c r="B983" s="2">
        <v>749</v>
      </c>
      <c r="C983" s="2" t="str">
        <f>"14-15/NOS-100-A-ZGH/14"</f>
        <v>14-15/NOS-100-A-ZGH/14</v>
      </c>
      <c r="D983" s="2" t="s">
        <v>362</v>
      </c>
      <c r="E983" s="2" t="s">
        <v>1250</v>
      </c>
      <c r="F983" s="2" t="s">
        <v>1301</v>
      </c>
      <c r="G983" s="2" t="str">
        <f>"14-15/NOS-100-A-ZGH/14"</f>
        <v>14-15/NOS-100-A-ZGH/14</v>
      </c>
      <c r="H983" s="2" t="str">
        <f t="shared" si="23"/>
        <v>Ugovor - narudžbenica (periodični predmet)</v>
      </c>
      <c r="I983" s="2" t="s">
        <v>19</v>
      </c>
      <c r="J983" s="3" t="str">
        <f>"732.408,52"</f>
        <v>732.408,52</v>
      </c>
      <c r="K983" s="2" t="s">
        <v>1310</v>
      </c>
      <c r="L983" s="2" t="s">
        <v>326</v>
      </c>
      <c r="M983" s="2" t="s">
        <v>382</v>
      </c>
      <c r="N983" s="2" t="str">
        <f>"16.07.2015"</f>
        <v>16.07.2015</v>
      </c>
      <c r="O983" s="3" t="str">
        <f>"673.197,77"</f>
        <v>673.197,77</v>
      </c>
      <c r="P983" s="4"/>
    </row>
    <row r="984" spans="2:16" ht="63" x14ac:dyDescent="0.25">
      <c r="B984" s="2">
        <v>750</v>
      </c>
      <c r="C984" s="2" t="str">
        <f>"15-15/NOS-100-A-ZGH/14"</f>
        <v>15-15/NOS-100-A-ZGH/14</v>
      </c>
      <c r="D984" s="2" t="s">
        <v>362</v>
      </c>
      <c r="E984" s="2" t="s">
        <v>1250</v>
      </c>
      <c r="F984" s="2" t="s">
        <v>1301</v>
      </c>
      <c r="G984" s="2" t="str">
        <f>"15-15/NOS-100-A-ZGH/14"</f>
        <v>15-15/NOS-100-A-ZGH/14</v>
      </c>
      <c r="H984" s="2" t="str">
        <f t="shared" si="23"/>
        <v>Ugovor - narudžbenica (periodični predmet)</v>
      </c>
      <c r="I984" s="2" t="s">
        <v>19</v>
      </c>
      <c r="J984" s="3" t="str">
        <f>"826.242,35"</f>
        <v>826.242,35</v>
      </c>
      <c r="K984" s="2" t="s">
        <v>725</v>
      </c>
      <c r="L984" s="2" t="s">
        <v>743</v>
      </c>
      <c r="M984" s="2" t="s">
        <v>382</v>
      </c>
      <c r="N984" s="2" t="str">
        <f>"16.07.2015"</f>
        <v>16.07.2015</v>
      </c>
      <c r="O984" s="3" t="str">
        <f>"29.173,38"</f>
        <v>29.173,38</v>
      </c>
      <c r="P984" s="4"/>
    </row>
    <row r="985" spans="2:16" ht="63" x14ac:dyDescent="0.25">
      <c r="B985" s="2">
        <v>751</v>
      </c>
      <c r="C985" s="2" t="str">
        <f>"23-15/NOS-100-B-ZGH/14"</f>
        <v>23-15/NOS-100-B-ZGH/14</v>
      </c>
      <c r="D985" s="2" t="s">
        <v>362</v>
      </c>
      <c r="E985" s="2" t="s">
        <v>1250</v>
      </c>
      <c r="F985" s="2" t="s">
        <v>1301</v>
      </c>
      <c r="G985" s="2" t="str">
        <f>"23-15/NOS-100-B-ZGH/14"</f>
        <v>23-15/NOS-100-B-ZGH/14</v>
      </c>
      <c r="H985" s="2" t="str">
        <f t="shared" si="23"/>
        <v>Ugovor - narudžbenica (periodični predmet)</v>
      </c>
      <c r="I985" s="2" t="s">
        <v>19</v>
      </c>
      <c r="J985" s="3" t="str">
        <f>"29,40"</f>
        <v>29,40</v>
      </c>
      <c r="K985" s="2" t="s">
        <v>1323</v>
      </c>
      <c r="L985" s="2" t="s">
        <v>714</v>
      </c>
      <c r="M985" s="2" t="s">
        <v>382</v>
      </c>
      <c r="N985" s="2" t="str">
        <f>"16.07.2015"</f>
        <v>16.07.2015</v>
      </c>
      <c r="O985" s="3" t="str">
        <f>"29,40"</f>
        <v>29,40</v>
      </c>
      <c r="P985" s="4"/>
    </row>
    <row r="986" spans="2:16" ht="63" x14ac:dyDescent="0.25">
      <c r="B986" s="2">
        <v>752</v>
      </c>
      <c r="C986" s="2" t="str">
        <f>"62-15/NOS-11-ZGH/14"</f>
        <v>62-15/NOS-11-ZGH/14</v>
      </c>
      <c r="D986" s="2" t="s">
        <v>903</v>
      </c>
      <c r="E986" s="2" t="s">
        <v>1250</v>
      </c>
      <c r="F986" s="2" t="s">
        <v>1278</v>
      </c>
      <c r="G986" s="2" t="str">
        <f>"62-15/NOS-11-ZGH/14"</f>
        <v>62-15/NOS-11-ZGH/14</v>
      </c>
      <c r="H986" s="2" t="str">
        <f t="shared" si="23"/>
        <v>Ugovor - narudžbenica (periodični predmet)</v>
      </c>
      <c r="I986" s="2" t="s">
        <v>19</v>
      </c>
      <c r="J986" s="3" t="str">
        <f>"6.463,04"</f>
        <v>6.463,04</v>
      </c>
      <c r="K986" s="2" t="s">
        <v>1322</v>
      </c>
      <c r="L986" s="2" t="s">
        <v>360</v>
      </c>
      <c r="M986" s="2" t="s">
        <v>1280</v>
      </c>
      <c r="N986" s="2" t="str">
        <f>"13.07.2015"</f>
        <v>13.07.2015</v>
      </c>
      <c r="O986" s="3" t="str">
        <f>"6.463,04"</f>
        <v>6.463,04</v>
      </c>
      <c r="P986" s="4"/>
    </row>
    <row r="987" spans="2:16" ht="63" x14ac:dyDescent="0.25">
      <c r="B987" s="2">
        <v>753</v>
      </c>
      <c r="C987" s="2" t="str">
        <f>"12-15/NOS-24-ZGH/14"</f>
        <v>12-15/NOS-24-ZGH/14</v>
      </c>
      <c r="D987" s="2" t="s">
        <v>1275</v>
      </c>
      <c r="E987" s="2" t="s">
        <v>1250</v>
      </c>
      <c r="F987" s="2" t="s">
        <v>1276</v>
      </c>
      <c r="G987" s="2" t="str">
        <f>"12-15/NOS-24-ZGH/14"</f>
        <v>12-15/NOS-24-ZGH/14</v>
      </c>
      <c r="H987" s="2" t="str">
        <f t="shared" si="23"/>
        <v>Ugovor - narudžbenica (periodični predmet)</v>
      </c>
      <c r="I987" s="2" t="s">
        <v>19</v>
      </c>
      <c r="J987" s="3" t="str">
        <f>"39.734,00"</f>
        <v>39.734,00</v>
      </c>
      <c r="K987" s="2" t="s">
        <v>1322</v>
      </c>
      <c r="L987" s="2" t="s">
        <v>360</v>
      </c>
      <c r="M987" s="2" t="s">
        <v>1307</v>
      </c>
      <c r="N987" s="2" t="str">
        <f>"28.08.2015"</f>
        <v>28.08.2015</v>
      </c>
      <c r="O987" s="3" t="str">
        <f>"38.327,60"</f>
        <v>38.327,60</v>
      </c>
      <c r="P987" s="4"/>
    </row>
    <row r="988" spans="2:16" ht="63" x14ac:dyDescent="0.25">
      <c r="B988" s="2">
        <v>754</v>
      </c>
      <c r="C988" s="2" t="str">
        <f>"24-15/NOS-29/12"</f>
        <v>24-15/NOS-29/12</v>
      </c>
      <c r="D988" s="2" t="s">
        <v>85</v>
      </c>
      <c r="E988" s="2" t="s">
        <v>1250</v>
      </c>
      <c r="F988" s="2" t="s">
        <v>1269</v>
      </c>
      <c r="G988" s="2" t="str">
        <f>"24-15/NOS-29/12"</f>
        <v>24-15/NOS-29/12</v>
      </c>
      <c r="H988" s="2" t="str">
        <f t="shared" si="23"/>
        <v>Ugovor - narudžbenica (periodični predmet)</v>
      </c>
      <c r="I988" s="2" t="s">
        <v>19</v>
      </c>
      <c r="J988" s="3" t="str">
        <f>"109.822,00"</f>
        <v>109.822,00</v>
      </c>
      <c r="K988" s="2" t="s">
        <v>1322</v>
      </c>
      <c r="L988" s="2" t="s">
        <v>360</v>
      </c>
      <c r="M988" s="2" t="s">
        <v>1126</v>
      </c>
      <c r="N988" s="2" t="str">
        <f>"13.10.2015"</f>
        <v>13.10.2015</v>
      </c>
      <c r="O988" s="3" t="str">
        <f>"105.866,00"</f>
        <v>105.866,00</v>
      </c>
      <c r="P988" s="4"/>
    </row>
    <row r="989" spans="2:16" ht="63" x14ac:dyDescent="0.25">
      <c r="B989" s="2">
        <v>755</v>
      </c>
      <c r="C989" s="2" t="str">
        <f>"4-15/NOS-35/14"</f>
        <v>4-15/NOS-35/14</v>
      </c>
      <c r="D989" s="2" t="s">
        <v>85</v>
      </c>
      <c r="E989" s="2" t="s">
        <v>1250</v>
      </c>
      <c r="F989" s="2" t="s">
        <v>1281</v>
      </c>
      <c r="G989" s="2" t="str">
        <f>"4-15/NOS-35/14"</f>
        <v>4-15/NOS-35/14</v>
      </c>
      <c r="H989" s="2" t="str">
        <f t="shared" si="23"/>
        <v>Ugovor - narudžbenica (periodični predmet)</v>
      </c>
      <c r="I989" s="2" t="s">
        <v>19</v>
      </c>
      <c r="J989" s="3" t="str">
        <f>"950,00"</f>
        <v>950,00</v>
      </c>
      <c r="K989" s="2" t="s">
        <v>1322</v>
      </c>
      <c r="L989" s="2" t="s">
        <v>360</v>
      </c>
      <c r="M989" s="2" t="s">
        <v>957</v>
      </c>
      <c r="N989" s="2" t="str">
        <f>"09.07.2015"</f>
        <v>09.07.2015</v>
      </c>
      <c r="O989" s="3" t="str">
        <f>"950,00"</f>
        <v>950,00</v>
      </c>
      <c r="P989" s="4"/>
    </row>
    <row r="990" spans="2:16" ht="63" x14ac:dyDescent="0.25">
      <c r="B990" s="12">
        <v>756</v>
      </c>
      <c r="C990" s="12" t="str">
        <f>"21-15/NOS-89/14"</f>
        <v>21-15/NOS-89/14</v>
      </c>
      <c r="D990" s="12" t="s">
        <v>16</v>
      </c>
      <c r="E990" s="12" t="s">
        <v>1250</v>
      </c>
      <c r="F990" s="12" t="s">
        <v>1277</v>
      </c>
      <c r="G990" s="12" t="str">
        <f>"21-15/NOS-89/14"</f>
        <v>21-15/NOS-89/14</v>
      </c>
      <c r="H990" s="12" t="str">
        <f t="shared" si="23"/>
        <v>Ugovor - narudžbenica (periodični predmet)</v>
      </c>
      <c r="I990" s="12" t="s">
        <v>19</v>
      </c>
      <c r="J990" s="13" t="str">
        <f>"23.914,76"</f>
        <v>23.914,76</v>
      </c>
      <c r="K990" s="12" t="s">
        <v>1322</v>
      </c>
      <c r="L990" s="12" t="s">
        <v>360</v>
      </c>
      <c r="M990" s="12" t="s">
        <v>868</v>
      </c>
      <c r="N990" s="12" t="str">
        <f>"24.07.2015"</f>
        <v>24.07.2015</v>
      </c>
      <c r="O990" s="28" t="str">
        <f>"27.123,32"</f>
        <v>27.123,32</v>
      </c>
      <c r="P990" s="12" t="s">
        <v>699</v>
      </c>
    </row>
    <row r="991" spans="2:16" ht="63" x14ac:dyDescent="0.25">
      <c r="B991" s="2">
        <v>757</v>
      </c>
      <c r="C991" s="2" t="str">
        <f>"1-15/NOS-104/14"</f>
        <v>1-15/NOS-104/14</v>
      </c>
      <c r="D991" s="2" t="s">
        <v>16</v>
      </c>
      <c r="E991" s="2" t="s">
        <v>1250</v>
      </c>
      <c r="F991" s="2" t="s">
        <v>37</v>
      </c>
      <c r="G991" s="2" t="str">
        <f>"1-15/NOS-104/14"</f>
        <v>1-15/NOS-104/14</v>
      </c>
      <c r="H991" s="2" t="str">
        <f t="shared" si="23"/>
        <v>Ugovor - narudžbenica (periodični predmet)</v>
      </c>
      <c r="I991" s="2" t="s">
        <v>19</v>
      </c>
      <c r="J991" s="3" t="str">
        <f>"12.300,00"</f>
        <v>12.300,00</v>
      </c>
      <c r="K991" s="2" t="s">
        <v>1317</v>
      </c>
      <c r="L991" s="2" t="s">
        <v>360</v>
      </c>
      <c r="M991" s="2" t="s">
        <v>40</v>
      </c>
      <c r="N991" s="2" t="str">
        <f>"13.08.2015"</f>
        <v>13.08.2015</v>
      </c>
      <c r="O991" s="3" t="str">
        <f>"12.300,00"</f>
        <v>12.300,00</v>
      </c>
      <c r="P991" s="4"/>
    </row>
    <row r="992" spans="2:16" ht="63" x14ac:dyDescent="0.25">
      <c r="B992" s="2">
        <v>758</v>
      </c>
      <c r="C992" s="2" t="str">
        <f>"1-15/NOS-210-D/13"</f>
        <v>1-15/NOS-210-D/13</v>
      </c>
      <c r="D992" s="2" t="s">
        <v>16</v>
      </c>
      <c r="E992" s="2" t="s">
        <v>1250</v>
      </c>
      <c r="F992" s="2" t="s">
        <v>1294</v>
      </c>
      <c r="G992" s="2" t="str">
        <f>"1-15/NOS-210-D/13"</f>
        <v>1-15/NOS-210-D/13</v>
      </c>
      <c r="H992" s="2" t="str">
        <f t="shared" si="23"/>
        <v>Ugovor - narudžbenica (periodični predmet)</v>
      </c>
      <c r="I992" s="2" t="s">
        <v>19</v>
      </c>
      <c r="J992" s="3" t="str">
        <f>"2.040,00"</f>
        <v>2.040,00</v>
      </c>
      <c r="K992" s="2" t="s">
        <v>1317</v>
      </c>
      <c r="L992" s="2" t="s">
        <v>360</v>
      </c>
      <c r="M992" s="2" t="s">
        <v>1293</v>
      </c>
      <c r="N992" s="2" t="str">
        <f>"14.12.2015"</f>
        <v>14.12.2015</v>
      </c>
      <c r="O992" s="3" t="str">
        <f>"2.040,00"</f>
        <v>2.040,00</v>
      </c>
      <c r="P992" s="4"/>
    </row>
    <row r="993" spans="2:16" ht="63" x14ac:dyDescent="0.25">
      <c r="B993" s="2">
        <v>759</v>
      </c>
      <c r="C993" s="2" t="str">
        <f>"6-15/NOS-210-A/13"</f>
        <v>6-15/NOS-210-A/13</v>
      </c>
      <c r="D993" s="2" t="s">
        <v>16</v>
      </c>
      <c r="E993" s="2" t="s">
        <v>1250</v>
      </c>
      <c r="F993" s="2" t="s">
        <v>1294</v>
      </c>
      <c r="G993" s="2" t="str">
        <f>"6-15/NOS-210-A/13"</f>
        <v>6-15/NOS-210-A/13</v>
      </c>
      <c r="H993" s="2" t="str">
        <f t="shared" si="23"/>
        <v>Ugovor - narudžbenica (periodični predmet)</v>
      </c>
      <c r="I993" s="2" t="s">
        <v>19</v>
      </c>
      <c r="J993" s="3" t="str">
        <f>"7.948,00"</f>
        <v>7.948,00</v>
      </c>
      <c r="K993" s="2" t="s">
        <v>1317</v>
      </c>
      <c r="L993" s="2" t="s">
        <v>360</v>
      </c>
      <c r="M993" s="2" t="s">
        <v>84</v>
      </c>
      <c r="N993" s="2" t="str">
        <f>"04.08.2015"</f>
        <v>04.08.2015</v>
      </c>
      <c r="O993" s="3" t="str">
        <f>"7.948,00"</f>
        <v>7.948,00</v>
      </c>
      <c r="P993" s="4"/>
    </row>
    <row r="994" spans="2:16" ht="63" x14ac:dyDescent="0.25">
      <c r="B994" s="2">
        <v>760</v>
      </c>
      <c r="C994" s="2" t="str">
        <f>"16-15/NOS-100-B-ZGH/14"</f>
        <v>16-15/NOS-100-B-ZGH/14</v>
      </c>
      <c r="D994" s="2" t="s">
        <v>16</v>
      </c>
      <c r="E994" s="2" t="s">
        <v>1250</v>
      </c>
      <c r="F994" s="2" t="s">
        <v>1301</v>
      </c>
      <c r="G994" s="2" t="str">
        <f>"16-15/NOS-100-B-ZGH/14"</f>
        <v>16-15/NOS-100-B-ZGH/14</v>
      </c>
      <c r="H994" s="2" t="str">
        <f t="shared" si="23"/>
        <v>Ugovor - narudžbenica (periodični predmet)</v>
      </c>
      <c r="I994" s="2" t="s">
        <v>19</v>
      </c>
      <c r="J994" s="3" t="str">
        <f>"5.644,60"</f>
        <v>5.644,60</v>
      </c>
      <c r="K994" s="2" t="s">
        <v>725</v>
      </c>
      <c r="L994" s="2" t="s">
        <v>743</v>
      </c>
      <c r="M994" s="2" t="s">
        <v>382</v>
      </c>
      <c r="N994" s="2" t="str">
        <f>"11.08.2015"</f>
        <v>11.08.2015</v>
      </c>
      <c r="O994" s="3" t="str">
        <f>"1.100,40"</f>
        <v>1.100,40</v>
      </c>
      <c r="P994" s="4"/>
    </row>
    <row r="995" spans="2:16" ht="63" x14ac:dyDescent="0.25">
      <c r="B995" s="2">
        <v>761</v>
      </c>
      <c r="C995" s="2" t="str">
        <f>"6-15/NOS-100-A-ZGH/14"</f>
        <v>6-15/NOS-100-A-ZGH/14</v>
      </c>
      <c r="D995" s="2" t="s">
        <v>1324</v>
      </c>
      <c r="E995" s="2" t="s">
        <v>1250</v>
      </c>
      <c r="F995" s="2" t="s">
        <v>1301</v>
      </c>
      <c r="G995" s="2" t="str">
        <f>"6-15/NOS-100-A-ZGH/14"</f>
        <v>6-15/NOS-100-A-ZGH/14</v>
      </c>
      <c r="H995" s="2" t="str">
        <f t="shared" si="23"/>
        <v>Ugovor - narudžbenica (periodični predmet)</v>
      </c>
      <c r="I995" s="2" t="s">
        <v>19</v>
      </c>
      <c r="J995" s="3" t="str">
        <f>"408.230,78"</f>
        <v>408.230,78</v>
      </c>
      <c r="K995" s="2" t="s">
        <v>725</v>
      </c>
      <c r="L995" s="2" t="s">
        <v>743</v>
      </c>
      <c r="M995" s="2" t="s">
        <v>382</v>
      </c>
      <c r="N995" s="2" t="str">
        <f>"01.09.2015"</f>
        <v>01.09.2015</v>
      </c>
      <c r="O995" s="3" t="str">
        <f>"188.292,69"</f>
        <v>188.292,69</v>
      </c>
      <c r="P995" s="4"/>
    </row>
    <row r="996" spans="2:16" ht="63" x14ac:dyDescent="0.25">
      <c r="B996" s="2">
        <v>762</v>
      </c>
      <c r="C996" s="2" t="str">
        <f>"19-15/NOS-100-A-ZGH/14"</f>
        <v>19-15/NOS-100-A-ZGH/14</v>
      </c>
      <c r="D996" s="2" t="s">
        <v>16</v>
      </c>
      <c r="E996" s="2" t="s">
        <v>1250</v>
      </c>
      <c r="F996" s="2" t="s">
        <v>1301</v>
      </c>
      <c r="G996" s="2" t="str">
        <f>"19-15/NOS-100-A-ZGH/14"</f>
        <v>19-15/NOS-100-A-ZGH/14</v>
      </c>
      <c r="H996" s="2" t="str">
        <f t="shared" si="23"/>
        <v>Ugovor - narudžbenica (periodični predmet)</v>
      </c>
      <c r="I996" s="2" t="s">
        <v>19</v>
      </c>
      <c r="J996" s="3" t="str">
        <f>"8.785,80"</f>
        <v>8.785,80</v>
      </c>
      <c r="K996" s="2" t="s">
        <v>1323</v>
      </c>
      <c r="L996" s="2" t="s">
        <v>714</v>
      </c>
      <c r="M996" s="2" t="s">
        <v>382</v>
      </c>
      <c r="N996" s="2" t="s">
        <v>23</v>
      </c>
      <c r="O996" s="3" t="str">
        <f>"0,00"</f>
        <v>0,00</v>
      </c>
      <c r="P996" s="4"/>
    </row>
    <row r="997" spans="2:16" ht="63" x14ac:dyDescent="0.25">
      <c r="B997" s="2">
        <v>763</v>
      </c>
      <c r="C997" s="2" t="str">
        <f>"5-15/NOS-183/13"</f>
        <v>5-15/NOS-183/13</v>
      </c>
      <c r="D997" s="2" t="s">
        <v>28</v>
      </c>
      <c r="E997" s="2" t="s">
        <v>1250</v>
      </c>
      <c r="F997" s="2" t="s">
        <v>1292</v>
      </c>
      <c r="G997" s="2" t="str">
        <f>"5-15/NOS-183/13"</f>
        <v>5-15/NOS-183/13</v>
      </c>
      <c r="H997" s="2" t="str">
        <f t="shared" si="23"/>
        <v>Ugovor - narudžbenica (periodični predmet)</v>
      </c>
      <c r="I997" s="2" t="s">
        <v>19</v>
      </c>
      <c r="J997" s="3" t="str">
        <f>"50.641,30"</f>
        <v>50.641,30</v>
      </c>
      <c r="K997" s="2" t="s">
        <v>1317</v>
      </c>
      <c r="L997" s="2" t="s">
        <v>195</v>
      </c>
      <c r="M997" s="2" t="s">
        <v>1293</v>
      </c>
      <c r="N997" s="2" t="str">
        <f>"02.11.2015"</f>
        <v>02.11.2015</v>
      </c>
      <c r="O997" s="3" t="str">
        <f>"50.641,30"</f>
        <v>50.641,30</v>
      </c>
      <c r="P997" s="4"/>
    </row>
    <row r="998" spans="2:16" ht="63" x14ac:dyDescent="0.25">
      <c r="B998" s="2">
        <v>764</v>
      </c>
      <c r="C998" s="2" t="str">
        <f>"10-15/NOS-47/14"</f>
        <v>10-15/NOS-47/14</v>
      </c>
      <c r="D998" s="2" t="s">
        <v>16</v>
      </c>
      <c r="E998" s="2" t="s">
        <v>1250</v>
      </c>
      <c r="F998" s="2" t="s">
        <v>1298</v>
      </c>
      <c r="G998" s="2" t="str">
        <f>"10-15/NOS-47/14"</f>
        <v>10-15/NOS-47/14</v>
      </c>
      <c r="H998" s="2" t="str">
        <f t="shared" si="23"/>
        <v>Ugovor - narudžbenica (periodični predmet)</v>
      </c>
      <c r="I998" s="2" t="s">
        <v>19</v>
      </c>
      <c r="J998" s="3" t="str">
        <f>"37.808,07"</f>
        <v>37.808,07</v>
      </c>
      <c r="K998" s="2" t="s">
        <v>1325</v>
      </c>
      <c r="L998" s="2" t="s">
        <v>696</v>
      </c>
      <c r="M998" s="2" t="s">
        <v>960</v>
      </c>
      <c r="N998" s="2" t="str">
        <f>"23.12.2015"</f>
        <v>23.12.2015</v>
      </c>
      <c r="O998" s="3" t="str">
        <f>"37.808,07"</f>
        <v>37.808,07</v>
      </c>
      <c r="P998" s="4"/>
    </row>
    <row r="999" spans="2:16" ht="63" x14ac:dyDescent="0.25">
      <c r="B999" s="2">
        <v>765</v>
      </c>
      <c r="C999" s="2" t="str">
        <f>"4-15/NOS-24/15"</f>
        <v>4-15/NOS-24/15</v>
      </c>
      <c r="D999" s="2" t="s">
        <v>16</v>
      </c>
      <c r="E999" s="2" t="s">
        <v>1250</v>
      </c>
      <c r="F999" s="2" t="s">
        <v>305</v>
      </c>
      <c r="G999" s="2" t="str">
        <f>"4-15/NOS-24/15"</f>
        <v>4-15/NOS-24/15</v>
      </c>
      <c r="H999" s="2" t="str">
        <f t="shared" si="23"/>
        <v>Ugovor - narudžbenica (periodični predmet)</v>
      </c>
      <c r="I999" s="2" t="s">
        <v>19</v>
      </c>
      <c r="J999" s="3" t="str">
        <f>"38.700,00"</f>
        <v>38.700,00</v>
      </c>
      <c r="K999" s="2" t="s">
        <v>1325</v>
      </c>
      <c r="L999" s="2" t="s">
        <v>360</v>
      </c>
      <c r="M999" s="2" t="s">
        <v>218</v>
      </c>
      <c r="N999" s="2" t="str">
        <f>"02.09.2015"</f>
        <v>02.09.2015</v>
      </c>
      <c r="O999" s="3" t="str">
        <f>"5.100,00"</f>
        <v>5.100,00</v>
      </c>
      <c r="P999" s="4"/>
    </row>
    <row r="1000" spans="2:16" ht="63" x14ac:dyDescent="0.25">
      <c r="B1000" s="2">
        <v>766</v>
      </c>
      <c r="C1000" s="2" t="str">
        <f>"16-15/NOS-67/13"</f>
        <v>16-15/NOS-67/13</v>
      </c>
      <c r="D1000" s="2" t="s">
        <v>16</v>
      </c>
      <c r="E1000" s="2" t="s">
        <v>1250</v>
      </c>
      <c r="F1000" s="2" t="s">
        <v>255</v>
      </c>
      <c r="G1000" s="2" t="str">
        <f>"16-15/NOS-67/13"</f>
        <v>16-15/NOS-67/13</v>
      </c>
      <c r="H1000" s="2" t="str">
        <f t="shared" si="23"/>
        <v>Ugovor - narudžbenica (periodični predmet)</v>
      </c>
      <c r="I1000" s="2" t="s">
        <v>19</v>
      </c>
      <c r="J1000" s="3" t="str">
        <f>"10.140,00"</f>
        <v>10.140,00</v>
      </c>
      <c r="K1000" s="2" t="s">
        <v>1325</v>
      </c>
      <c r="L1000" s="2" t="s">
        <v>360</v>
      </c>
      <c r="M1000" s="2" t="s">
        <v>184</v>
      </c>
      <c r="N1000" s="2" t="str">
        <f>"06.08.2015"</f>
        <v>06.08.2015</v>
      </c>
      <c r="O1000" s="3" t="str">
        <f>"10.140,00"</f>
        <v>10.140,00</v>
      </c>
      <c r="P1000" s="4"/>
    </row>
    <row r="1001" spans="2:16" ht="63" x14ac:dyDescent="0.25">
      <c r="B1001" s="2">
        <v>767</v>
      </c>
      <c r="C1001" s="2" t="str">
        <f>"3-15/NOS-118/14"</f>
        <v>3-15/NOS-118/14</v>
      </c>
      <c r="D1001" s="2" t="s">
        <v>85</v>
      </c>
      <c r="E1001" s="2" t="s">
        <v>1250</v>
      </c>
      <c r="F1001" s="2" t="s">
        <v>86</v>
      </c>
      <c r="G1001" s="2" t="str">
        <f>"3-15/NOS-118/14"</f>
        <v>3-15/NOS-118/14</v>
      </c>
      <c r="H1001" s="2" t="str">
        <f t="shared" si="23"/>
        <v>Ugovor - narudžbenica (periodični predmet)</v>
      </c>
      <c r="I1001" s="2" t="s">
        <v>19</v>
      </c>
      <c r="J1001" s="3" t="str">
        <f>"8.655,00"</f>
        <v>8.655,00</v>
      </c>
      <c r="K1001" s="2" t="s">
        <v>1325</v>
      </c>
      <c r="L1001" s="2" t="s">
        <v>360</v>
      </c>
      <c r="M1001" s="2" t="s">
        <v>89</v>
      </c>
      <c r="N1001" s="2" t="str">
        <f>"30.07.2015"</f>
        <v>30.07.2015</v>
      </c>
      <c r="O1001" s="3" t="str">
        <f>"8.655,00"</f>
        <v>8.655,00</v>
      </c>
      <c r="P1001" s="4"/>
    </row>
    <row r="1002" spans="2:16" ht="63" x14ac:dyDescent="0.25">
      <c r="B1002" s="2">
        <v>768</v>
      </c>
      <c r="C1002" s="2" t="str">
        <f>"2-15/NOS-214/13"</f>
        <v>2-15/NOS-214/13</v>
      </c>
      <c r="D1002" s="2" t="s">
        <v>28</v>
      </c>
      <c r="E1002" s="2" t="s">
        <v>1250</v>
      </c>
      <c r="F1002" s="2" t="s">
        <v>1326</v>
      </c>
      <c r="G1002" s="2" t="str">
        <f>"2-15/NOS-214/13"</f>
        <v>2-15/NOS-214/13</v>
      </c>
      <c r="H1002" s="2" t="str">
        <f t="shared" si="23"/>
        <v>Ugovor - narudžbenica (periodični predmet)</v>
      </c>
      <c r="I1002" s="2" t="s">
        <v>19</v>
      </c>
      <c r="J1002" s="3" t="str">
        <f>"15.007,50"</f>
        <v>15.007,50</v>
      </c>
      <c r="K1002" s="2" t="s">
        <v>1325</v>
      </c>
      <c r="L1002" s="2" t="s">
        <v>360</v>
      </c>
      <c r="M1002" s="2" t="s">
        <v>1327</v>
      </c>
      <c r="N1002" s="2" t="str">
        <f>"08.09.2015"</f>
        <v>08.09.2015</v>
      </c>
      <c r="O1002" s="3" t="str">
        <f>"15.007,50"</f>
        <v>15.007,50</v>
      </c>
      <c r="P1002" s="4"/>
    </row>
    <row r="1003" spans="2:16" ht="63" x14ac:dyDescent="0.25">
      <c r="B1003" s="2">
        <v>769</v>
      </c>
      <c r="C1003" s="2" t="str">
        <f>"2-15/NOS-122/14"</f>
        <v>2-15/NOS-122/14</v>
      </c>
      <c r="D1003" s="2" t="s">
        <v>16</v>
      </c>
      <c r="E1003" s="2" t="s">
        <v>1250</v>
      </c>
      <c r="F1003" s="2" t="s">
        <v>58</v>
      </c>
      <c r="G1003" s="2" t="str">
        <f>"2-15/NOS-122/14"</f>
        <v>2-15/NOS-122/14</v>
      </c>
      <c r="H1003" s="2" t="str">
        <f t="shared" si="23"/>
        <v>Ugovor - narudžbenica (periodični predmet)</v>
      </c>
      <c r="I1003" s="2" t="s">
        <v>19</v>
      </c>
      <c r="J1003" s="3" t="str">
        <f>"29.992,00"</f>
        <v>29.992,00</v>
      </c>
      <c r="K1003" s="2" t="s">
        <v>987</v>
      </c>
      <c r="L1003" s="2" t="s">
        <v>360</v>
      </c>
      <c r="M1003" s="2" t="s">
        <v>63</v>
      </c>
      <c r="N1003" s="2" t="str">
        <f>"18.12.2015"</f>
        <v>18.12.2015</v>
      </c>
      <c r="O1003" s="3" t="str">
        <f>"29.992,00"</f>
        <v>29.992,00</v>
      </c>
      <c r="P1003" s="4"/>
    </row>
    <row r="1004" spans="2:16" ht="15.75" x14ac:dyDescent="0.25">
      <c r="B1004" s="36">
        <v>770</v>
      </c>
      <c r="C1004" s="36" t="str">
        <f>"16-15/NOS-97/14"</f>
        <v>16-15/NOS-97/14</v>
      </c>
      <c r="D1004" s="36" t="s">
        <v>28</v>
      </c>
      <c r="E1004" s="36" t="s">
        <v>1250</v>
      </c>
      <c r="F1004" s="36" t="s">
        <v>1285</v>
      </c>
      <c r="G1004" s="36" t="str">
        <f>"16-15/NOS-97/14"</f>
        <v>16-15/NOS-97/14</v>
      </c>
      <c r="H1004" s="36" t="str">
        <f t="shared" si="23"/>
        <v>Ugovor - narudžbenica (periodični predmet)</v>
      </c>
      <c r="I1004" s="36" t="s">
        <v>19</v>
      </c>
      <c r="J1004" s="38" t="str">
        <f>"12.976,50"</f>
        <v>12.976,50</v>
      </c>
      <c r="K1004" s="36" t="s">
        <v>987</v>
      </c>
      <c r="L1004" s="36" t="s">
        <v>195</v>
      </c>
      <c r="M1004" s="36" t="s">
        <v>164</v>
      </c>
      <c r="N1004" s="36" t="str">
        <f>"12.08.2015"</f>
        <v>12.08.2015</v>
      </c>
      <c r="O1004" s="38" t="str">
        <f>"8.173,36"</f>
        <v>8.173,36</v>
      </c>
      <c r="P1004" s="6"/>
    </row>
    <row r="1005" spans="2:16" ht="15.75" x14ac:dyDescent="0.25">
      <c r="B1005" s="37"/>
      <c r="C1005" s="37"/>
      <c r="D1005" s="37"/>
      <c r="E1005" s="37"/>
      <c r="F1005" s="37"/>
      <c r="G1005" s="37"/>
      <c r="H1005" s="37"/>
      <c r="I1005" s="37"/>
      <c r="J1005" s="39"/>
      <c r="K1005" s="37"/>
      <c r="L1005" s="37"/>
      <c r="M1005" s="37"/>
      <c r="N1005" s="37"/>
      <c r="O1005" s="39"/>
      <c r="P1005" s="8"/>
    </row>
    <row r="1006" spans="2:16" ht="63" x14ac:dyDescent="0.25">
      <c r="B1006" s="2">
        <v>771</v>
      </c>
      <c r="C1006" s="2" t="str">
        <f>"72-15/NOS-103/13"</f>
        <v>72-15/NOS-103/13</v>
      </c>
      <c r="D1006" s="2" t="s">
        <v>28</v>
      </c>
      <c r="E1006" s="2" t="s">
        <v>1250</v>
      </c>
      <c r="F1006" s="2" t="s">
        <v>543</v>
      </c>
      <c r="G1006" s="2" t="str">
        <f>"72-15/NOS-103/13"</f>
        <v>72-15/NOS-103/13</v>
      </c>
      <c r="H1006" s="2" t="str">
        <f t="shared" ref="H1006:H1037" si="24">"Ugovor - narudžbenica (periodični predmet)"</f>
        <v>Ugovor - narudžbenica (periodični predmet)</v>
      </c>
      <c r="I1006" s="2" t="s">
        <v>19</v>
      </c>
      <c r="J1006" s="3" t="str">
        <f>"56.285,45"</f>
        <v>56.285,45</v>
      </c>
      <c r="K1006" s="2" t="s">
        <v>1328</v>
      </c>
      <c r="L1006" s="2" t="s">
        <v>1329</v>
      </c>
      <c r="M1006" s="2" t="s">
        <v>544</v>
      </c>
      <c r="N1006" s="2" t="str">
        <f>"12.01.2016"</f>
        <v>12.01.2016</v>
      </c>
      <c r="O1006" s="3" t="str">
        <f>"55.162,20"</f>
        <v>55.162,20</v>
      </c>
      <c r="P1006" s="4"/>
    </row>
    <row r="1007" spans="2:16" ht="63" x14ac:dyDescent="0.25">
      <c r="B1007" s="2">
        <v>772</v>
      </c>
      <c r="C1007" s="2" t="str">
        <f>"14-15/NOS-83/14"</f>
        <v>14-15/NOS-83/14</v>
      </c>
      <c r="D1007" s="2" t="s">
        <v>16</v>
      </c>
      <c r="E1007" s="2" t="s">
        <v>1250</v>
      </c>
      <c r="F1007" s="2" t="s">
        <v>1273</v>
      </c>
      <c r="G1007" s="2" t="str">
        <f>"14-15/NOS-83/14"</f>
        <v>14-15/NOS-83/14</v>
      </c>
      <c r="H1007" s="2" t="str">
        <f t="shared" si="24"/>
        <v>Ugovor - narudžbenica (periodični predmet)</v>
      </c>
      <c r="I1007" s="2" t="s">
        <v>19</v>
      </c>
      <c r="J1007" s="3" t="str">
        <f>"53.948,00"</f>
        <v>53.948,00</v>
      </c>
      <c r="K1007" s="2" t="s">
        <v>1328</v>
      </c>
      <c r="L1007" s="2" t="s">
        <v>1329</v>
      </c>
      <c r="M1007" s="2" t="s">
        <v>941</v>
      </c>
      <c r="N1007" s="2" t="str">
        <f>"29.07.2015"</f>
        <v>29.07.2015</v>
      </c>
      <c r="O1007" s="3" t="str">
        <f>"53.948,00"</f>
        <v>53.948,00</v>
      </c>
      <c r="P1007" s="4"/>
    </row>
    <row r="1008" spans="2:16" ht="63" x14ac:dyDescent="0.25">
      <c r="B1008" s="2">
        <v>773</v>
      </c>
      <c r="C1008" s="2" t="str">
        <f>"9-15/NOS-56/14"</f>
        <v>9-15/NOS-56/14</v>
      </c>
      <c r="D1008" s="2" t="s">
        <v>16</v>
      </c>
      <c r="E1008" s="2" t="s">
        <v>1250</v>
      </c>
      <c r="F1008" s="2" t="s">
        <v>1286</v>
      </c>
      <c r="G1008" s="2" t="str">
        <f>"9-15/NOS-56/14"</f>
        <v>9-15/NOS-56/14</v>
      </c>
      <c r="H1008" s="2" t="str">
        <f t="shared" si="24"/>
        <v>Ugovor - narudžbenica (periodični predmet)</v>
      </c>
      <c r="I1008" s="2" t="s">
        <v>19</v>
      </c>
      <c r="J1008" s="3" t="str">
        <f>"31.900,00"</f>
        <v>31.900,00</v>
      </c>
      <c r="K1008" s="2" t="s">
        <v>1328</v>
      </c>
      <c r="L1008" s="2" t="s">
        <v>1329</v>
      </c>
      <c r="M1008" s="2" t="s">
        <v>715</v>
      </c>
      <c r="N1008" s="2" t="str">
        <f>"29.07.2015"</f>
        <v>29.07.2015</v>
      </c>
      <c r="O1008" s="3" t="str">
        <f>"31.900,00"</f>
        <v>31.900,00</v>
      </c>
      <c r="P1008" s="4"/>
    </row>
    <row r="1009" spans="2:16" s="15" customFormat="1" ht="63" x14ac:dyDescent="0.25">
      <c r="B1009" s="12">
        <v>774</v>
      </c>
      <c r="C1009" s="12" t="str">
        <f>"2-15/NOS-14/15"</f>
        <v>2-15/NOS-14/15</v>
      </c>
      <c r="D1009" s="12" t="s">
        <v>16</v>
      </c>
      <c r="E1009" s="12" t="s">
        <v>1250</v>
      </c>
      <c r="F1009" s="12" t="s">
        <v>324</v>
      </c>
      <c r="G1009" s="12" t="str">
        <f>"2-15/NOS-14/15"</f>
        <v>2-15/NOS-14/15</v>
      </c>
      <c r="H1009" s="12" t="str">
        <f t="shared" si="24"/>
        <v>Ugovor - narudžbenica (periodični predmet)</v>
      </c>
      <c r="I1009" s="12" t="s">
        <v>19</v>
      </c>
      <c r="J1009" s="13" t="str">
        <f>"149.980,00"</f>
        <v>149.980,00</v>
      </c>
      <c r="K1009" s="12" t="s">
        <v>1328</v>
      </c>
      <c r="L1009" s="12" t="s">
        <v>1329</v>
      </c>
      <c r="M1009" s="12" t="s">
        <v>138</v>
      </c>
      <c r="N1009" s="12" t="s">
        <v>1567</v>
      </c>
      <c r="O1009" s="22">
        <v>149007</v>
      </c>
      <c r="P1009" s="14"/>
    </row>
    <row r="1010" spans="2:16" ht="110.25" x14ac:dyDescent="0.25">
      <c r="B1010" s="2">
        <v>775</v>
      </c>
      <c r="C1010" s="2" t="str">
        <f>"63-15/NOS-11-ZGH/14"</f>
        <v>63-15/NOS-11-ZGH/14</v>
      </c>
      <c r="D1010" s="2" t="s">
        <v>214</v>
      </c>
      <c r="E1010" s="2" t="s">
        <v>1250</v>
      </c>
      <c r="F1010" s="2" t="s">
        <v>1278</v>
      </c>
      <c r="G1010" s="2" t="str">
        <f>"63-15/NOS-11-ZGH/14"</f>
        <v>63-15/NOS-11-ZGH/14</v>
      </c>
      <c r="H1010" s="2" t="str">
        <f t="shared" si="24"/>
        <v>Ugovor - narudžbenica (periodični predmet)</v>
      </c>
      <c r="I1010" s="2" t="s">
        <v>19</v>
      </c>
      <c r="J1010" s="3" t="str">
        <f>"31.093,72"</f>
        <v>31.093,72</v>
      </c>
      <c r="K1010" s="2" t="s">
        <v>1328</v>
      </c>
      <c r="L1010" s="2" t="s">
        <v>1329</v>
      </c>
      <c r="M1010" s="2" t="s">
        <v>1280</v>
      </c>
      <c r="N1010" s="2" t="str">
        <f>"08.09.2015"</f>
        <v>08.09.2015</v>
      </c>
      <c r="O1010" s="3" t="str">
        <f>"31.093,72"</f>
        <v>31.093,72</v>
      </c>
      <c r="P1010" s="4"/>
    </row>
    <row r="1011" spans="2:16" ht="63" x14ac:dyDescent="0.25">
      <c r="B1011" s="2">
        <v>776</v>
      </c>
      <c r="C1011" s="2" t="str">
        <f>"3-15/NOS-210-D/13"</f>
        <v>3-15/NOS-210-D/13</v>
      </c>
      <c r="D1011" s="2" t="s">
        <v>85</v>
      </c>
      <c r="E1011" s="2" t="s">
        <v>1250</v>
      </c>
      <c r="F1011" s="2" t="s">
        <v>1294</v>
      </c>
      <c r="G1011" s="2" t="str">
        <f>"3-15/NOS-210-D/13"</f>
        <v>3-15/NOS-210-D/13</v>
      </c>
      <c r="H1011" s="2" t="str">
        <f t="shared" si="24"/>
        <v>Ugovor - narudžbenica (periodični predmet)</v>
      </c>
      <c r="I1011" s="2" t="s">
        <v>19</v>
      </c>
      <c r="J1011" s="3" t="str">
        <f>"11.169,00"</f>
        <v>11.169,00</v>
      </c>
      <c r="K1011" s="2" t="s">
        <v>1328</v>
      </c>
      <c r="L1011" s="2" t="s">
        <v>1329</v>
      </c>
      <c r="M1011" s="2" t="s">
        <v>1293</v>
      </c>
      <c r="N1011" s="2" t="str">
        <f>"31.08.2015"</f>
        <v>31.08.2015</v>
      </c>
      <c r="O1011" s="3" t="str">
        <f>"11.169,00"</f>
        <v>11.169,00</v>
      </c>
      <c r="P1011" s="4"/>
    </row>
    <row r="1012" spans="2:16" ht="63" x14ac:dyDescent="0.25">
      <c r="B1012" s="2">
        <v>777</v>
      </c>
      <c r="C1012" s="2" t="str">
        <f>"1-15/NOS-210-C/13"</f>
        <v>1-15/NOS-210-C/13</v>
      </c>
      <c r="D1012" s="2" t="s">
        <v>16</v>
      </c>
      <c r="E1012" s="2" t="s">
        <v>1250</v>
      </c>
      <c r="F1012" s="2" t="s">
        <v>1294</v>
      </c>
      <c r="G1012" s="2" t="str">
        <f>"1-15/NOS-210-C/13"</f>
        <v>1-15/NOS-210-C/13</v>
      </c>
      <c r="H1012" s="2" t="str">
        <f t="shared" si="24"/>
        <v>Ugovor - narudžbenica (periodični predmet)</v>
      </c>
      <c r="I1012" s="2" t="s">
        <v>19</v>
      </c>
      <c r="J1012" s="3" t="str">
        <f>"636,00"</f>
        <v>636,00</v>
      </c>
      <c r="K1012" s="2" t="s">
        <v>1328</v>
      </c>
      <c r="L1012" s="2" t="s">
        <v>1329</v>
      </c>
      <c r="M1012" s="2" t="s">
        <v>84</v>
      </c>
      <c r="N1012" s="2" t="str">
        <f>"28.07.2015"</f>
        <v>28.07.2015</v>
      </c>
      <c r="O1012" s="3" t="str">
        <f>"636,00"</f>
        <v>636,00</v>
      </c>
      <c r="P1012" s="4"/>
    </row>
    <row r="1013" spans="2:16" ht="63" x14ac:dyDescent="0.25">
      <c r="B1013" s="2">
        <v>778</v>
      </c>
      <c r="C1013" s="2" t="str">
        <f>"22-15/NOS-137/13"</f>
        <v>22-15/NOS-137/13</v>
      </c>
      <c r="D1013" s="2" t="s">
        <v>28</v>
      </c>
      <c r="E1013" s="2" t="s">
        <v>1250</v>
      </c>
      <c r="F1013" s="2" t="s">
        <v>1330</v>
      </c>
      <c r="G1013" s="2" t="str">
        <f>"22-15/NOS-137/13"</f>
        <v>22-15/NOS-137/13</v>
      </c>
      <c r="H1013" s="2" t="str">
        <f t="shared" si="24"/>
        <v>Ugovor - narudžbenica (periodični predmet)</v>
      </c>
      <c r="I1013" s="2" t="s">
        <v>19</v>
      </c>
      <c r="J1013" s="3" t="str">
        <f>"7.123,80"</f>
        <v>7.123,80</v>
      </c>
      <c r="K1013" s="2" t="s">
        <v>1328</v>
      </c>
      <c r="L1013" s="2" t="s">
        <v>1329</v>
      </c>
      <c r="M1013" s="2" t="s">
        <v>508</v>
      </c>
      <c r="N1013" s="2" t="str">
        <f>"24.08.2015"</f>
        <v>24.08.2015</v>
      </c>
      <c r="O1013" s="3" t="str">
        <f>"6.744,80"</f>
        <v>6.744,80</v>
      </c>
      <c r="P1013" s="4"/>
    </row>
    <row r="1014" spans="2:16" ht="63" x14ac:dyDescent="0.25">
      <c r="B1014" s="2">
        <v>779</v>
      </c>
      <c r="C1014" s="2" t="str">
        <f>"15-15/NOS-117/13"</f>
        <v>15-15/NOS-117/13</v>
      </c>
      <c r="D1014" s="2" t="s">
        <v>16</v>
      </c>
      <c r="E1014" s="2" t="s">
        <v>1250</v>
      </c>
      <c r="F1014" s="2" t="s">
        <v>1265</v>
      </c>
      <c r="G1014" s="2" t="str">
        <f>"15-15/NOS-117/13"</f>
        <v>15-15/NOS-117/13</v>
      </c>
      <c r="H1014" s="2" t="str">
        <f t="shared" si="24"/>
        <v>Ugovor - narudžbenica (periodični predmet)</v>
      </c>
      <c r="I1014" s="2" t="s">
        <v>19</v>
      </c>
      <c r="J1014" s="3" t="str">
        <f>"1.800,00"</f>
        <v>1.800,00</v>
      </c>
      <c r="K1014" s="2" t="s">
        <v>1328</v>
      </c>
      <c r="L1014" s="2" t="s">
        <v>1329</v>
      </c>
      <c r="M1014" s="2" t="s">
        <v>84</v>
      </c>
      <c r="N1014" s="2" t="str">
        <f>"08.09.2015"</f>
        <v>08.09.2015</v>
      </c>
      <c r="O1014" s="3" t="str">
        <f>"1.800,00"</f>
        <v>1.800,00</v>
      </c>
      <c r="P1014" s="4"/>
    </row>
    <row r="1015" spans="2:16" ht="63" x14ac:dyDescent="0.25">
      <c r="B1015" s="2">
        <v>780</v>
      </c>
      <c r="C1015" s="2" t="str">
        <f>"5-15/NOS-121-C/14"</f>
        <v>5-15/NOS-121-C/14</v>
      </c>
      <c r="D1015" s="2" t="s">
        <v>28</v>
      </c>
      <c r="E1015" s="2" t="s">
        <v>1250</v>
      </c>
      <c r="F1015" s="2" t="s">
        <v>1316</v>
      </c>
      <c r="G1015" s="2" t="str">
        <f>"5-15/NOS-121-C/14"</f>
        <v>5-15/NOS-121-C/14</v>
      </c>
      <c r="H1015" s="2" t="str">
        <f t="shared" si="24"/>
        <v>Ugovor - narudžbenica (periodični predmet)</v>
      </c>
      <c r="I1015" s="2" t="s">
        <v>19</v>
      </c>
      <c r="J1015" s="3" t="str">
        <f>"144.724,32"</f>
        <v>144.724,32</v>
      </c>
      <c r="K1015" s="2" t="s">
        <v>195</v>
      </c>
      <c r="L1015" s="2" t="s">
        <v>1329</v>
      </c>
      <c r="M1015" s="2" t="s">
        <v>599</v>
      </c>
      <c r="N1015" s="2" t="str">
        <f>"13.08.2015"</f>
        <v>13.08.2015</v>
      </c>
      <c r="O1015" s="3" t="str">
        <f>"144.724,32"</f>
        <v>144.724,32</v>
      </c>
      <c r="P1015" s="4"/>
    </row>
    <row r="1016" spans="2:16" ht="63" x14ac:dyDescent="0.25">
      <c r="B1016" s="2">
        <v>781</v>
      </c>
      <c r="C1016" s="2" t="str">
        <f>"5-15/NOS-24/15"</f>
        <v>5-15/NOS-24/15</v>
      </c>
      <c r="D1016" s="2" t="s">
        <v>16</v>
      </c>
      <c r="E1016" s="2" t="s">
        <v>1250</v>
      </c>
      <c r="F1016" s="2" t="s">
        <v>305</v>
      </c>
      <c r="G1016" s="2" t="str">
        <f>"5-15/NOS-24/15"</f>
        <v>5-15/NOS-24/15</v>
      </c>
      <c r="H1016" s="2" t="str">
        <f t="shared" si="24"/>
        <v>Ugovor - narudžbenica (periodični predmet)</v>
      </c>
      <c r="I1016" s="2" t="s">
        <v>19</v>
      </c>
      <c r="J1016" s="3" t="str">
        <f>"39.010,00"</f>
        <v>39.010,00</v>
      </c>
      <c r="K1016" s="2" t="s">
        <v>195</v>
      </c>
      <c r="L1016" s="2" t="s">
        <v>1329</v>
      </c>
      <c r="M1016" s="2" t="s">
        <v>218</v>
      </c>
      <c r="N1016" s="2" t="str">
        <f>"24.11.2015"</f>
        <v>24.11.2015</v>
      </c>
      <c r="O1016" s="3" t="str">
        <f>"39.010,00"</f>
        <v>39.010,00</v>
      </c>
      <c r="P1016" s="4"/>
    </row>
    <row r="1017" spans="2:16" ht="63" x14ac:dyDescent="0.25">
      <c r="B1017" s="2">
        <v>782</v>
      </c>
      <c r="C1017" s="2" t="str">
        <f>"33-15/NOS-53-ZGH/14"</f>
        <v>33-15/NOS-53-ZGH/14</v>
      </c>
      <c r="D1017" s="2" t="s">
        <v>242</v>
      </c>
      <c r="E1017" s="2" t="s">
        <v>1250</v>
      </c>
      <c r="F1017" s="2" t="s">
        <v>1272</v>
      </c>
      <c r="G1017" s="2" t="str">
        <f>"33-15/NOS-53-ZGH/14"</f>
        <v>33-15/NOS-53-ZGH/14</v>
      </c>
      <c r="H1017" s="2" t="str">
        <f t="shared" si="24"/>
        <v>Ugovor - narudžbenica (periodični predmet)</v>
      </c>
      <c r="I1017" s="2" t="s">
        <v>19</v>
      </c>
      <c r="J1017" s="3" t="str">
        <f>"128.135,40"</f>
        <v>128.135,40</v>
      </c>
      <c r="K1017" s="2" t="s">
        <v>195</v>
      </c>
      <c r="L1017" s="2" t="s">
        <v>1329</v>
      </c>
      <c r="M1017" s="2" t="s">
        <v>1097</v>
      </c>
      <c r="N1017" s="2" t="str">
        <f>"21.09.2015"</f>
        <v>21.09.2015</v>
      </c>
      <c r="O1017" s="3" t="str">
        <f>"127.935,50"</f>
        <v>127.935,50</v>
      </c>
      <c r="P1017" s="4"/>
    </row>
    <row r="1018" spans="2:16" ht="63" x14ac:dyDescent="0.25">
      <c r="B1018" s="2">
        <v>783</v>
      </c>
      <c r="C1018" s="2" t="str">
        <f>"26-15/NOS-29/12"</f>
        <v>26-15/NOS-29/12</v>
      </c>
      <c r="D1018" s="2" t="s">
        <v>85</v>
      </c>
      <c r="E1018" s="2" t="s">
        <v>1250</v>
      </c>
      <c r="F1018" s="2" t="s">
        <v>1269</v>
      </c>
      <c r="G1018" s="2" t="str">
        <f>"26-15/NOS-29/12"</f>
        <v>26-15/NOS-29/12</v>
      </c>
      <c r="H1018" s="2" t="str">
        <f t="shared" si="24"/>
        <v>Ugovor - narudžbenica (periodični predmet)</v>
      </c>
      <c r="I1018" s="2" t="s">
        <v>19</v>
      </c>
      <c r="J1018" s="3" t="str">
        <f>"38.378,50"</f>
        <v>38.378,50</v>
      </c>
      <c r="K1018" s="2" t="s">
        <v>195</v>
      </c>
      <c r="L1018" s="2" t="s">
        <v>207</v>
      </c>
      <c r="M1018" s="2" t="s">
        <v>1299</v>
      </c>
      <c r="N1018" s="2" t="str">
        <f>"21.08.2015"</f>
        <v>21.08.2015</v>
      </c>
      <c r="O1018" s="3" t="str">
        <f>"38.378,50"</f>
        <v>38.378,50</v>
      </c>
      <c r="P1018" s="4"/>
    </row>
    <row r="1019" spans="2:16" ht="63" x14ac:dyDescent="0.25">
      <c r="B1019" s="2">
        <v>784</v>
      </c>
      <c r="C1019" s="2" t="str">
        <f>"64-15/NOS-11-ZGH/14"</f>
        <v>64-15/NOS-11-ZGH/14</v>
      </c>
      <c r="D1019" s="2" t="s">
        <v>16</v>
      </c>
      <c r="E1019" s="2" t="s">
        <v>1250</v>
      </c>
      <c r="F1019" s="2" t="s">
        <v>1278</v>
      </c>
      <c r="G1019" s="2" t="str">
        <f>"64-15/NOS-11-ZGH/14"</f>
        <v>64-15/NOS-11-ZGH/14</v>
      </c>
      <c r="H1019" s="2" t="str">
        <f t="shared" si="24"/>
        <v>Ugovor - narudžbenica (periodični predmet)</v>
      </c>
      <c r="I1019" s="2" t="s">
        <v>19</v>
      </c>
      <c r="J1019" s="3" t="str">
        <f>"28.651,45"</f>
        <v>28.651,45</v>
      </c>
      <c r="K1019" s="2" t="s">
        <v>203</v>
      </c>
      <c r="L1019" s="2" t="s">
        <v>412</v>
      </c>
      <c r="M1019" s="2" t="s">
        <v>1280</v>
      </c>
      <c r="N1019" s="2" t="str">
        <f>"14.09.2015"</f>
        <v>14.09.2015</v>
      </c>
      <c r="O1019" s="3" t="str">
        <f>"28.651,45"</f>
        <v>28.651,45</v>
      </c>
      <c r="P1019" s="4"/>
    </row>
    <row r="1020" spans="2:16" ht="63" x14ac:dyDescent="0.25">
      <c r="B1020" s="2">
        <v>785</v>
      </c>
      <c r="C1020" s="2" t="str">
        <f>"1-15/NOS-19/15"</f>
        <v>1-15/NOS-19/15</v>
      </c>
      <c r="D1020" s="2" t="s">
        <v>16</v>
      </c>
      <c r="E1020" s="2" t="s">
        <v>1250</v>
      </c>
      <c r="F1020" s="2" t="s">
        <v>277</v>
      </c>
      <c r="G1020" s="2" t="str">
        <f>"1-15/NOS-19/15"</f>
        <v>1-15/NOS-19/15</v>
      </c>
      <c r="H1020" s="2" t="str">
        <f t="shared" si="24"/>
        <v>Ugovor - narudžbenica (periodični predmet)</v>
      </c>
      <c r="I1020" s="2" t="s">
        <v>19</v>
      </c>
      <c r="J1020" s="3" t="str">
        <f>"7.005,20"</f>
        <v>7.005,20</v>
      </c>
      <c r="K1020" s="2" t="s">
        <v>526</v>
      </c>
      <c r="L1020" s="2" t="s">
        <v>570</v>
      </c>
      <c r="M1020" s="2" t="s">
        <v>44</v>
      </c>
      <c r="N1020" s="2" t="str">
        <f>"07.09.2015"</f>
        <v>07.09.2015</v>
      </c>
      <c r="O1020" s="3" t="str">
        <f>"3.124,00"</f>
        <v>3.124,00</v>
      </c>
      <c r="P1020" s="4"/>
    </row>
    <row r="1021" spans="2:16" ht="110.25" x14ac:dyDescent="0.25">
      <c r="B1021" s="2">
        <v>786</v>
      </c>
      <c r="C1021" s="2" t="str">
        <f>"65-15/NOS-11-ZGH/14"</f>
        <v>65-15/NOS-11-ZGH/14</v>
      </c>
      <c r="D1021" s="2" t="s">
        <v>304</v>
      </c>
      <c r="E1021" s="2" t="s">
        <v>1250</v>
      </c>
      <c r="F1021" s="2" t="s">
        <v>1278</v>
      </c>
      <c r="G1021" s="2" t="str">
        <f>"65-15/NOS-11-ZGH/14"</f>
        <v>65-15/NOS-11-ZGH/14</v>
      </c>
      <c r="H1021" s="2" t="str">
        <f t="shared" si="24"/>
        <v>Ugovor - narudžbenica (periodični predmet)</v>
      </c>
      <c r="I1021" s="2" t="s">
        <v>19</v>
      </c>
      <c r="J1021" s="3" t="str">
        <f>"581.979,25"</f>
        <v>581.979,25</v>
      </c>
      <c r="K1021" s="2" t="s">
        <v>570</v>
      </c>
      <c r="L1021" s="2" t="s">
        <v>412</v>
      </c>
      <c r="M1021" s="2" t="s">
        <v>1280</v>
      </c>
      <c r="N1021" s="2" t="str">
        <f>"18.09.2015"</f>
        <v>18.09.2015</v>
      </c>
      <c r="O1021" s="3" t="str">
        <f>"525.038,15"</f>
        <v>525.038,15</v>
      </c>
      <c r="P1021" s="4"/>
    </row>
    <row r="1022" spans="2:16" ht="63" x14ac:dyDescent="0.25">
      <c r="B1022" s="2">
        <v>787</v>
      </c>
      <c r="C1022" s="2" t="str">
        <f>"17-15/NOS-97/14"</f>
        <v>17-15/NOS-97/14</v>
      </c>
      <c r="D1022" s="2" t="s">
        <v>16</v>
      </c>
      <c r="E1022" s="2" t="s">
        <v>1250</v>
      </c>
      <c r="F1022" s="2" t="s">
        <v>1285</v>
      </c>
      <c r="G1022" s="2" t="str">
        <f>"17-15/NOS-97/14"</f>
        <v>17-15/NOS-97/14</v>
      </c>
      <c r="H1022" s="2" t="str">
        <f t="shared" si="24"/>
        <v>Ugovor - narudžbenica (periodični predmet)</v>
      </c>
      <c r="I1022" s="2" t="s">
        <v>19</v>
      </c>
      <c r="J1022" s="3" t="str">
        <f>"12.751,17"</f>
        <v>12.751,17</v>
      </c>
      <c r="K1022" s="2" t="s">
        <v>360</v>
      </c>
      <c r="L1022" s="2" t="s">
        <v>1331</v>
      </c>
      <c r="M1022" s="2" t="s">
        <v>44</v>
      </c>
      <c r="N1022" s="2" t="str">
        <f>"16.09.2015"</f>
        <v>16.09.2015</v>
      </c>
      <c r="O1022" s="3" t="str">
        <f>"10.464,76"</f>
        <v>10.464,76</v>
      </c>
      <c r="P1022" s="2"/>
    </row>
    <row r="1023" spans="2:16" ht="63" x14ac:dyDescent="0.25">
      <c r="B1023" s="2">
        <v>788</v>
      </c>
      <c r="C1023" s="2" t="str">
        <f>"6-15/NOS-112/14"</f>
        <v>6-15/NOS-112/14</v>
      </c>
      <c r="D1023" s="2" t="s">
        <v>16</v>
      </c>
      <c r="E1023" s="2" t="s">
        <v>1250</v>
      </c>
      <c r="F1023" s="2" t="s">
        <v>77</v>
      </c>
      <c r="G1023" s="2" t="str">
        <f>"6-15/NOS-112/14"</f>
        <v>6-15/NOS-112/14</v>
      </c>
      <c r="H1023" s="2" t="str">
        <f t="shared" si="24"/>
        <v>Ugovor - narudžbenica (periodični predmet)</v>
      </c>
      <c r="I1023" s="2" t="s">
        <v>19</v>
      </c>
      <c r="J1023" s="3" t="str">
        <f>"16.050,00"</f>
        <v>16.050,00</v>
      </c>
      <c r="K1023" s="2" t="s">
        <v>360</v>
      </c>
      <c r="L1023" s="2" t="s">
        <v>1331</v>
      </c>
      <c r="M1023" s="2" t="s">
        <v>80</v>
      </c>
      <c r="N1023" s="2" t="str">
        <f>"12.08.2015"</f>
        <v>12.08.2015</v>
      </c>
      <c r="O1023" s="3" t="str">
        <f>"16.050,00"</f>
        <v>16.050,00</v>
      </c>
      <c r="P1023" s="4"/>
    </row>
    <row r="1024" spans="2:16" ht="63" x14ac:dyDescent="0.25">
      <c r="B1024" s="2">
        <v>789</v>
      </c>
      <c r="C1024" s="2" t="str">
        <f>"34-15/NOS-109/13"</f>
        <v>34-15/NOS-109/13</v>
      </c>
      <c r="D1024" s="2" t="s">
        <v>28</v>
      </c>
      <c r="E1024" s="2" t="s">
        <v>1250</v>
      </c>
      <c r="F1024" s="2" t="s">
        <v>1312</v>
      </c>
      <c r="G1024" s="2" t="str">
        <f>"34-15/NOS-109/13"</f>
        <v>34-15/NOS-109/13</v>
      </c>
      <c r="H1024" s="2" t="str">
        <f t="shared" si="24"/>
        <v>Ugovor - narudžbenica (periodični predmet)</v>
      </c>
      <c r="I1024" s="2" t="s">
        <v>19</v>
      </c>
      <c r="J1024" s="3" t="str">
        <f>"23.141,25"</f>
        <v>23.141,25</v>
      </c>
      <c r="K1024" s="2" t="s">
        <v>360</v>
      </c>
      <c r="L1024" s="2" t="s">
        <v>1332</v>
      </c>
      <c r="M1024" s="2" t="s">
        <v>84</v>
      </c>
      <c r="N1024" s="2" t="str">
        <f>"09.09.2015"</f>
        <v>09.09.2015</v>
      </c>
      <c r="O1024" s="3" t="str">
        <f>"22.646,25"</f>
        <v>22.646,25</v>
      </c>
      <c r="P1024" s="4"/>
    </row>
    <row r="1025" spans="2:16" ht="63" x14ac:dyDescent="0.25">
      <c r="B1025" s="2">
        <v>790</v>
      </c>
      <c r="C1025" s="2" t="str">
        <f>"27-15/NOS-29/12"</f>
        <v>27-15/NOS-29/12</v>
      </c>
      <c r="D1025" s="2" t="s">
        <v>85</v>
      </c>
      <c r="E1025" s="2" t="s">
        <v>1250</v>
      </c>
      <c r="F1025" s="2" t="s">
        <v>1269</v>
      </c>
      <c r="G1025" s="2" t="str">
        <f>"27-15/NOS-29/12"</f>
        <v>27-15/NOS-29/12</v>
      </c>
      <c r="H1025" s="2" t="str">
        <f t="shared" si="24"/>
        <v>Ugovor - narudžbenica (periodični predmet)</v>
      </c>
      <c r="I1025" s="2" t="s">
        <v>19</v>
      </c>
      <c r="J1025" s="3" t="str">
        <f>"84.923,00"</f>
        <v>84.923,00</v>
      </c>
      <c r="K1025" s="2" t="s">
        <v>360</v>
      </c>
      <c r="L1025" s="2" t="s">
        <v>1329</v>
      </c>
      <c r="M1025" s="2" t="s">
        <v>1201</v>
      </c>
      <c r="N1025" s="2" t="str">
        <f>"27.10.2015"</f>
        <v>27.10.2015</v>
      </c>
      <c r="O1025" s="3" t="str">
        <f>"79.929,40"</f>
        <v>79.929,40</v>
      </c>
      <c r="P1025" s="4"/>
    </row>
    <row r="1026" spans="2:16" ht="63" x14ac:dyDescent="0.25">
      <c r="B1026" s="2">
        <v>791</v>
      </c>
      <c r="C1026" s="2" t="str">
        <f>"4-15/NOS-118/14"</f>
        <v>4-15/NOS-118/14</v>
      </c>
      <c r="D1026" s="2" t="s">
        <v>85</v>
      </c>
      <c r="E1026" s="2" t="s">
        <v>1250</v>
      </c>
      <c r="F1026" s="2" t="s">
        <v>86</v>
      </c>
      <c r="G1026" s="2" t="str">
        <f>"4-15/NOS-118/14"</f>
        <v>4-15/NOS-118/14</v>
      </c>
      <c r="H1026" s="2" t="str">
        <f t="shared" si="24"/>
        <v>Ugovor - narudžbenica (periodični predmet)</v>
      </c>
      <c r="I1026" s="2" t="s">
        <v>19</v>
      </c>
      <c r="J1026" s="3" t="str">
        <f>"27.999,00"</f>
        <v>27.999,00</v>
      </c>
      <c r="K1026" s="2" t="s">
        <v>360</v>
      </c>
      <c r="L1026" s="2" t="s">
        <v>1329</v>
      </c>
      <c r="M1026" s="2" t="s">
        <v>84</v>
      </c>
      <c r="N1026" s="2" t="str">
        <f>"13.08.2015"</f>
        <v>13.08.2015</v>
      </c>
      <c r="O1026" s="3" t="str">
        <f>"27.999,00"</f>
        <v>27.999,00</v>
      </c>
      <c r="P1026" s="4"/>
    </row>
    <row r="1027" spans="2:16" ht="63" x14ac:dyDescent="0.25">
      <c r="B1027" s="2">
        <v>792</v>
      </c>
      <c r="C1027" s="2" t="str">
        <f>"3-15/NOS-122/14"</f>
        <v>3-15/NOS-122/14</v>
      </c>
      <c r="D1027" s="2" t="s">
        <v>16</v>
      </c>
      <c r="E1027" s="2" t="s">
        <v>1250</v>
      </c>
      <c r="F1027" s="2" t="s">
        <v>58</v>
      </c>
      <c r="G1027" s="2" t="str">
        <f>"3-15/NOS-122/14"</f>
        <v>3-15/NOS-122/14</v>
      </c>
      <c r="H1027" s="2" t="str">
        <f t="shared" si="24"/>
        <v>Ugovor - narudžbenica (periodični predmet)</v>
      </c>
      <c r="I1027" s="2" t="s">
        <v>19</v>
      </c>
      <c r="J1027" s="3" t="str">
        <f>"7.083,70"</f>
        <v>7.083,70</v>
      </c>
      <c r="K1027" s="2" t="s">
        <v>360</v>
      </c>
      <c r="L1027" s="2" t="s">
        <v>1329</v>
      </c>
      <c r="M1027" s="2" t="s">
        <v>61</v>
      </c>
      <c r="N1027" s="2" t="str">
        <f>"02.10.2015"</f>
        <v>02.10.2015</v>
      </c>
      <c r="O1027" s="3" t="str">
        <f>"7.083,70"</f>
        <v>7.083,70</v>
      </c>
      <c r="P1027" s="4"/>
    </row>
    <row r="1028" spans="2:16" ht="63" x14ac:dyDescent="0.25">
      <c r="B1028" s="2">
        <v>793</v>
      </c>
      <c r="C1028" s="2" t="str">
        <f>"6-15/NOS-24/15"</f>
        <v>6-15/NOS-24/15</v>
      </c>
      <c r="D1028" s="2" t="s">
        <v>260</v>
      </c>
      <c r="E1028" s="2" t="s">
        <v>1250</v>
      </c>
      <c r="F1028" s="2" t="s">
        <v>305</v>
      </c>
      <c r="G1028" s="2" t="str">
        <f>"6-15/NOS-24/15"</f>
        <v>6-15/NOS-24/15</v>
      </c>
      <c r="H1028" s="2" t="str">
        <f t="shared" si="24"/>
        <v>Ugovor - narudžbenica (periodični predmet)</v>
      </c>
      <c r="I1028" s="2" t="s">
        <v>19</v>
      </c>
      <c r="J1028" s="3" t="str">
        <f>"102.158,50"</f>
        <v>102.158,50</v>
      </c>
      <c r="K1028" s="2" t="s">
        <v>360</v>
      </c>
      <c r="L1028" s="2" t="s">
        <v>570</v>
      </c>
      <c r="M1028" s="2" t="s">
        <v>218</v>
      </c>
      <c r="N1028" s="2" t="str">
        <f>"20.10.2015"</f>
        <v>20.10.2015</v>
      </c>
      <c r="O1028" s="3" t="str">
        <f>"95.493,50"</f>
        <v>95.493,50</v>
      </c>
      <c r="P1028" s="2"/>
    </row>
    <row r="1029" spans="2:16" ht="78.75" x14ac:dyDescent="0.25">
      <c r="B1029" s="2">
        <v>794</v>
      </c>
      <c r="C1029" s="2" t="str">
        <f>"7-15/NOS-218/13"</f>
        <v>7-15/NOS-218/13</v>
      </c>
      <c r="D1029" s="2" t="s">
        <v>1275</v>
      </c>
      <c r="E1029" s="2" t="s">
        <v>1250</v>
      </c>
      <c r="F1029" s="2" t="s">
        <v>1270</v>
      </c>
      <c r="G1029" s="2" t="str">
        <f>"7-15/NOS-218/13"</f>
        <v>7-15/NOS-218/13</v>
      </c>
      <c r="H1029" s="2" t="str">
        <f t="shared" si="24"/>
        <v>Ugovor - narudžbenica (periodični predmet)</v>
      </c>
      <c r="I1029" s="2" t="s">
        <v>19</v>
      </c>
      <c r="J1029" s="3" t="str">
        <f>"1.536,40"</f>
        <v>1.536,40</v>
      </c>
      <c r="K1029" s="2" t="s">
        <v>412</v>
      </c>
      <c r="L1029" s="2" t="s">
        <v>440</v>
      </c>
      <c r="M1029" s="2" t="s">
        <v>920</v>
      </c>
      <c r="N1029" s="2" t="str">
        <f>"02.09.2015"</f>
        <v>02.09.2015</v>
      </c>
      <c r="O1029" s="3" t="str">
        <f>"1.440,00"</f>
        <v>1.440,00</v>
      </c>
      <c r="P1029" s="4"/>
    </row>
    <row r="1030" spans="2:16" ht="63" x14ac:dyDescent="0.25">
      <c r="B1030" s="2">
        <v>795</v>
      </c>
      <c r="C1030" s="2" t="str">
        <f>"4-15/NOS-122/14"</f>
        <v>4-15/NOS-122/14</v>
      </c>
      <c r="D1030" s="2" t="s">
        <v>16</v>
      </c>
      <c r="E1030" s="2" t="s">
        <v>1250</v>
      </c>
      <c r="F1030" s="2" t="s">
        <v>58</v>
      </c>
      <c r="G1030" s="2" t="str">
        <f>"4-15/NOS-122/14"</f>
        <v>4-15/NOS-122/14</v>
      </c>
      <c r="H1030" s="2" t="str">
        <f t="shared" si="24"/>
        <v>Ugovor - narudžbenica (periodični predmet)</v>
      </c>
      <c r="I1030" s="2" t="s">
        <v>19</v>
      </c>
      <c r="J1030" s="3" t="str">
        <f>"10.230,10"</f>
        <v>10.230,10</v>
      </c>
      <c r="K1030" s="2" t="s">
        <v>167</v>
      </c>
      <c r="L1030" s="2" t="s">
        <v>526</v>
      </c>
      <c r="M1030" s="2" t="s">
        <v>61</v>
      </c>
      <c r="N1030" s="2" t="str">
        <f>"12.11.2015"</f>
        <v>12.11.2015</v>
      </c>
      <c r="O1030" s="3" t="str">
        <f>"10.230,10"</f>
        <v>10.230,10</v>
      </c>
      <c r="P1030" s="4"/>
    </row>
    <row r="1031" spans="2:16" ht="63" x14ac:dyDescent="0.25">
      <c r="B1031" s="2">
        <v>796</v>
      </c>
      <c r="C1031" s="2" t="str">
        <f>"22-15/NOS-100-A-ZGH/14"</f>
        <v>22-15/NOS-100-A-ZGH/14</v>
      </c>
      <c r="D1031" s="2" t="s">
        <v>362</v>
      </c>
      <c r="E1031" s="2" t="s">
        <v>1250</v>
      </c>
      <c r="F1031" s="2" t="s">
        <v>1301</v>
      </c>
      <c r="G1031" s="2" t="str">
        <f>"22-15/NOS-100-A-ZGH/14"</f>
        <v>22-15/NOS-100-A-ZGH/14</v>
      </c>
      <c r="H1031" s="2" t="str">
        <f t="shared" si="24"/>
        <v>Ugovor - narudžbenica (periodični predmet)</v>
      </c>
      <c r="I1031" s="2" t="s">
        <v>19</v>
      </c>
      <c r="J1031" s="3" t="str">
        <f>"314.689,07"</f>
        <v>314.689,07</v>
      </c>
      <c r="K1031" s="2" t="s">
        <v>762</v>
      </c>
      <c r="L1031" s="2" t="s">
        <v>696</v>
      </c>
      <c r="M1031" s="2" t="s">
        <v>382</v>
      </c>
      <c r="N1031" s="2" t="str">
        <f>"08.09.2015"</f>
        <v>08.09.2015</v>
      </c>
      <c r="O1031" s="3" t="str">
        <f>"234.066,57"</f>
        <v>234.066,57</v>
      </c>
      <c r="P1031" s="4"/>
    </row>
    <row r="1032" spans="2:16" ht="63" x14ac:dyDescent="0.25">
      <c r="B1032" s="2">
        <v>797</v>
      </c>
      <c r="C1032" s="2" t="str">
        <f>"26-15/NOS-100-B-ZGH/14"</f>
        <v>26-15/NOS-100-B-ZGH/14</v>
      </c>
      <c r="D1032" s="2" t="s">
        <v>362</v>
      </c>
      <c r="E1032" s="2" t="s">
        <v>1250</v>
      </c>
      <c r="F1032" s="2" t="s">
        <v>1301</v>
      </c>
      <c r="G1032" s="2" t="str">
        <f>"26-15/NOS-100-B-ZGH/14"</f>
        <v>26-15/NOS-100-B-ZGH/14</v>
      </c>
      <c r="H1032" s="2" t="str">
        <f t="shared" si="24"/>
        <v>Ugovor - narudžbenica (periodični predmet)</v>
      </c>
      <c r="I1032" s="2" t="s">
        <v>19</v>
      </c>
      <c r="J1032" s="3" t="str">
        <f>"15,20"</f>
        <v>15,20</v>
      </c>
      <c r="K1032" s="2" t="s">
        <v>762</v>
      </c>
      <c r="L1032" s="2" t="s">
        <v>696</v>
      </c>
      <c r="M1032" s="2" t="s">
        <v>382</v>
      </c>
      <c r="N1032" s="2" t="str">
        <f>"08.09.2015"</f>
        <v>08.09.2015</v>
      </c>
      <c r="O1032" s="3" t="str">
        <f>"15,20"</f>
        <v>15,20</v>
      </c>
      <c r="P1032" s="4"/>
    </row>
    <row r="1033" spans="2:16" ht="63" x14ac:dyDescent="0.25">
      <c r="B1033" s="2">
        <v>798</v>
      </c>
      <c r="C1033" s="2" t="str">
        <f>"73-15/NOS-103/13"</f>
        <v>73-15/NOS-103/13</v>
      </c>
      <c r="D1033" s="2" t="s">
        <v>16</v>
      </c>
      <c r="E1033" s="2" t="s">
        <v>1250</v>
      </c>
      <c r="F1033" s="2" t="s">
        <v>543</v>
      </c>
      <c r="G1033" s="2" t="str">
        <f>"73-15/NOS-103/13"</f>
        <v>73-15/NOS-103/13</v>
      </c>
      <c r="H1033" s="2" t="str">
        <f t="shared" si="24"/>
        <v>Ugovor - narudžbenica (periodični predmet)</v>
      </c>
      <c r="I1033" s="2" t="s">
        <v>19</v>
      </c>
      <c r="J1033" s="3" t="str">
        <f>"12.438,68"</f>
        <v>12.438,68</v>
      </c>
      <c r="K1033" s="2" t="s">
        <v>263</v>
      </c>
      <c r="L1033" s="2" t="s">
        <v>182</v>
      </c>
      <c r="M1033" s="2" t="s">
        <v>75</v>
      </c>
      <c r="N1033" s="2" t="str">
        <f>"30.11.2015"</f>
        <v>30.11.2015</v>
      </c>
      <c r="O1033" s="3" t="str">
        <f>"12.438,68"</f>
        <v>12.438,68</v>
      </c>
      <c r="P1033" s="4"/>
    </row>
    <row r="1034" spans="2:16" ht="78.75" x14ac:dyDescent="0.25">
      <c r="B1034" s="2">
        <v>799</v>
      </c>
      <c r="C1034" s="2" t="str">
        <f>"8-15/NOS-218/13"</f>
        <v>8-15/NOS-218/13</v>
      </c>
      <c r="D1034" s="2" t="s">
        <v>85</v>
      </c>
      <c r="E1034" s="2" t="s">
        <v>1250</v>
      </c>
      <c r="F1034" s="2" t="s">
        <v>1270</v>
      </c>
      <c r="G1034" s="2" t="str">
        <f>"8-15/NOS-218/13"</f>
        <v>8-15/NOS-218/13</v>
      </c>
      <c r="H1034" s="2" t="str">
        <f t="shared" si="24"/>
        <v>Ugovor - narudžbenica (periodični predmet)</v>
      </c>
      <c r="I1034" s="2" t="s">
        <v>19</v>
      </c>
      <c r="J1034" s="3" t="str">
        <f>"945,00"</f>
        <v>945,00</v>
      </c>
      <c r="K1034" s="2" t="s">
        <v>263</v>
      </c>
      <c r="L1034" s="2" t="s">
        <v>516</v>
      </c>
      <c r="M1034" s="2" t="s">
        <v>920</v>
      </c>
      <c r="N1034" s="2" t="str">
        <f>"18.09.2015"</f>
        <v>18.09.2015</v>
      </c>
      <c r="O1034" s="3" t="str">
        <f>"945,00"</f>
        <v>945,00</v>
      </c>
      <c r="P1034" s="4"/>
    </row>
    <row r="1035" spans="2:16" ht="63" x14ac:dyDescent="0.25">
      <c r="B1035" s="2">
        <v>800</v>
      </c>
      <c r="C1035" s="2" t="str">
        <f>"5-15/NOS-209/13"</f>
        <v>5-15/NOS-209/13</v>
      </c>
      <c r="D1035" s="2" t="s">
        <v>16</v>
      </c>
      <c r="E1035" s="2" t="s">
        <v>1250</v>
      </c>
      <c r="F1035" s="2" t="s">
        <v>1296</v>
      </c>
      <c r="G1035" s="2" t="str">
        <f>"5-15/NOS-209/13"</f>
        <v>5-15/NOS-209/13</v>
      </c>
      <c r="H1035" s="2" t="str">
        <f t="shared" si="24"/>
        <v>Ugovor - narudžbenica (periodični predmet)</v>
      </c>
      <c r="I1035" s="2" t="s">
        <v>19</v>
      </c>
      <c r="J1035" s="3" t="str">
        <f>"14.960,40"</f>
        <v>14.960,40</v>
      </c>
      <c r="K1035" s="2" t="s">
        <v>263</v>
      </c>
      <c r="L1035" s="2" t="s">
        <v>1332</v>
      </c>
      <c r="M1035" s="2" t="s">
        <v>111</v>
      </c>
      <c r="N1035" s="2" t="str">
        <f>"17.09.2015"</f>
        <v>17.09.2015</v>
      </c>
      <c r="O1035" s="3" t="str">
        <f>"14.960,40"</f>
        <v>14.960,40</v>
      </c>
      <c r="P1035" s="4"/>
    </row>
    <row r="1036" spans="2:16" ht="63" x14ac:dyDescent="0.25">
      <c r="B1036" s="2">
        <v>801</v>
      </c>
      <c r="C1036" s="2" t="str">
        <f>"11-15/NOS-205/13"</f>
        <v>11-15/NOS-205/13</v>
      </c>
      <c r="D1036" s="2" t="s">
        <v>16</v>
      </c>
      <c r="E1036" s="2" t="s">
        <v>1250</v>
      </c>
      <c r="F1036" s="2" t="s">
        <v>1290</v>
      </c>
      <c r="G1036" s="2" t="str">
        <f>"11-15/NOS-205/13"</f>
        <v>11-15/NOS-205/13</v>
      </c>
      <c r="H1036" s="2" t="str">
        <f t="shared" si="24"/>
        <v>Ugovor - narudžbenica (periodični predmet)</v>
      </c>
      <c r="I1036" s="2" t="s">
        <v>19</v>
      </c>
      <c r="J1036" s="3" t="str">
        <f>"14.264,10"</f>
        <v>14.264,10</v>
      </c>
      <c r="K1036" s="2" t="s">
        <v>178</v>
      </c>
      <c r="L1036" s="2" t="s">
        <v>1332</v>
      </c>
      <c r="M1036" s="2" t="s">
        <v>44</v>
      </c>
      <c r="N1036" s="2" t="str">
        <f>"07.01.2016"</f>
        <v>07.01.2016</v>
      </c>
      <c r="O1036" s="3" t="str">
        <f>"1.264,10"</f>
        <v>1.264,10</v>
      </c>
      <c r="P1036" s="4"/>
    </row>
    <row r="1037" spans="2:16" ht="63" x14ac:dyDescent="0.25">
      <c r="B1037" s="2">
        <v>802</v>
      </c>
      <c r="C1037" s="2" t="str">
        <f>"4-15/NOS-203/13"</f>
        <v>4-15/NOS-203/13</v>
      </c>
      <c r="D1037" s="2" t="s">
        <v>16</v>
      </c>
      <c r="E1037" s="2" t="s">
        <v>1250</v>
      </c>
      <c r="F1037" s="2" t="s">
        <v>1303</v>
      </c>
      <c r="G1037" s="2" t="str">
        <f>"4-15/NOS-203/13"</f>
        <v>4-15/NOS-203/13</v>
      </c>
      <c r="H1037" s="2" t="str">
        <f t="shared" si="24"/>
        <v>Ugovor - narudžbenica (periodični predmet)</v>
      </c>
      <c r="I1037" s="2" t="s">
        <v>19</v>
      </c>
      <c r="J1037" s="3" t="str">
        <f>"12.988,68"</f>
        <v>12.988,68</v>
      </c>
      <c r="K1037" s="2" t="s">
        <v>178</v>
      </c>
      <c r="L1037" s="2" t="s">
        <v>1331</v>
      </c>
      <c r="M1037" s="2" t="s">
        <v>1305</v>
      </c>
      <c r="N1037" s="2" t="str">
        <f>"14.08.2015"</f>
        <v>14.08.2015</v>
      </c>
      <c r="O1037" s="3" t="str">
        <f>"12.988,68"</f>
        <v>12.988,68</v>
      </c>
      <c r="P1037" s="4"/>
    </row>
    <row r="1038" spans="2:16" ht="63" x14ac:dyDescent="0.25">
      <c r="B1038" s="2">
        <v>803</v>
      </c>
      <c r="C1038" s="2" t="str">
        <f>"24-15/NOS-137/13"</f>
        <v>24-15/NOS-137/13</v>
      </c>
      <c r="D1038" s="2" t="s">
        <v>28</v>
      </c>
      <c r="E1038" s="2" t="s">
        <v>1250</v>
      </c>
      <c r="F1038" s="2" t="s">
        <v>1330</v>
      </c>
      <c r="G1038" s="2" t="str">
        <f>"24-15/NOS-137/13"</f>
        <v>24-15/NOS-137/13</v>
      </c>
      <c r="H1038" s="2" t="str">
        <f t="shared" ref="H1038:H1069" si="25">"Ugovor - narudžbenica (periodični predmet)"</f>
        <v>Ugovor - narudžbenica (periodični predmet)</v>
      </c>
      <c r="I1038" s="2" t="s">
        <v>19</v>
      </c>
      <c r="J1038" s="3" t="str">
        <f>"10.070,40"</f>
        <v>10.070,40</v>
      </c>
      <c r="K1038" s="2" t="s">
        <v>178</v>
      </c>
      <c r="L1038" s="2" t="s">
        <v>1331</v>
      </c>
      <c r="M1038" s="2" t="s">
        <v>508</v>
      </c>
      <c r="N1038" s="2" t="str">
        <f>"01.09.2015"</f>
        <v>01.09.2015</v>
      </c>
      <c r="O1038" s="3" t="str">
        <f>"7.822,00"</f>
        <v>7.822,00</v>
      </c>
      <c r="P1038" s="4"/>
    </row>
    <row r="1039" spans="2:16" ht="63" x14ac:dyDescent="0.25">
      <c r="B1039" s="2">
        <v>804</v>
      </c>
      <c r="C1039" s="2" t="str">
        <f>"6-15/NOS-121-C/14"</f>
        <v>6-15/NOS-121-C/14</v>
      </c>
      <c r="D1039" s="2" t="s">
        <v>16</v>
      </c>
      <c r="E1039" s="2" t="s">
        <v>1250</v>
      </c>
      <c r="F1039" s="2" t="s">
        <v>1316</v>
      </c>
      <c r="G1039" s="2" t="str">
        <f>"6-15/NOS-121-C/14"</f>
        <v>6-15/NOS-121-C/14</v>
      </c>
      <c r="H1039" s="2" t="str">
        <f t="shared" si="25"/>
        <v>Ugovor - narudžbenica (periodični predmet)</v>
      </c>
      <c r="I1039" s="2" t="s">
        <v>19</v>
      </c>
      <c r="J1039" s="3" t="str">
        <f>"365.976,00"</f>
        <v>365.976,00</v>
      </c>
      <c r="K1039" s="2" t="s">
        <v>178</v>
      </c>
      <c r="L1039" s="2" t="s">
        <v>516</v>
      </c>
      <c r="M1039" s="2" t="s">
        <v>599</v>
      </c>
      <c r="N1039" s="2" t="str">
        <f>"08.09.2015"</f>
        <v>08.09.2015</v>
      </c>
      <c r="O1039" s="3" t="str">
        <f>"365.976,00"</f>
        <v>365.976,00</v>
      </c>
      <c r="P1039" s="4"/>
    </row>
    <row r="1040" spans="2:16" ht="63" x14ac:dyDescent="0.25">
      <c r="B1040" s="2">
        <v>805</v>
      </c>
      <c r="C1040" s="2" t="str">
        <f>"7-15/NOS-112/14"</f>
        <v>7-15/NOS-112/14</v>
      </c>
      <c r="D1040" s="2" t="s">
        <v>16</v>
      </c>
      <c r="E1040" s="2" t="s">
        <v>1250</v>
      </c>
      <c r="F1040" s="2" t="s">
        <v>77</v>
      </c>
      <c r="G1040" s="2" t="str">
        <f>"7-15/NOS-112/14"</f>
        <v>7-15/NOS-112/14</v>
      </c>
      <c r="H1040" s="2" t="str">
        <f t="shared" si="25"/>
        <v>Ugovor - narudžbenica (periodični predmet)</v>
      </c>
      <c r="I1040" s="2" t="s">
        <v>19</v>
      </c>
      <c r="J1040" s="3" t="str">
        <f>"14.200,00"</f>
        <v>14.200,00</v>
      </c>
      <c r="K1040" s="2" t="s">
        <v>178</v>
      </c>
      <c r="L1040" s="2" t="s">
        <v>1331</v>
      </c>
      <c r="M1040" s="2" t="s">
        <v>80</v>
      </c>
      <c r="N1040" s="2" t="str">
        <f>"19.08.2015"</f>
        <v>19.08.2015</v>
      </c>
      <c r="O1040" s="3" t="str">
        <f>"14.200,00"</f>
        <v>14.200,00</v>
      </c>
      <c r="P1040" s="4"/>
    </row>
    <row r="1041" spans="2:16" ht="63" x14ac:dyDescent="0.25">
      <c r="B1041" s="2">
        <v>806</v>
      </c>
      <c r="C1041" s="2" t="str">
        <f>"16-15/NOS-117/13"</f>
        <v>16-15/NOS-117/13</v>
      </c>
      <c r="D1041" s="2" t="s">
        <v>16</v>
      </c>
      <c r="E1041" s="2" t="s">
        <v>1250</v>
      </c>
      <c r="F1041" s="2" t="s">
        <v>1265</v>
      </c>
      <c r="G1041" s="2" t="str">
        <f>"16-15/NOS-117/13"</f>
        <v>16-15/NOS-117/13</v>
      </c>
      <c r="H1041" s="2" t="str">
        <f t="shared" si="25"/>
        <v>Ugovor - narudžbenica (periodični predmet)</v>
      </c>
      <c r="I1041" s="2" t="s">
        <v>19</v>
      </c>
      <c r="J1041" s="3" t="str">
        <f>"3.440,00"</f>
        <v>3.440,00</v>
      </c>
      <c r="K1041" s="2" t="s">
        <v>178</v>
      </c>
      <c r="L1041" s="2" t="s">
        <v>1331</v>
      </c>
      <c r="M1041" s="2" t="s">
        <v>508</v>
      </c>
      <c r="N1041" s="2" t="str">
        <f>"24.08.2015"</f>
        <v>24.08.2015</v>
      </c>
      <c r="O1041" s="3" t="str">
        <f>"3.440,00"</f>
        <v>3.440,00</v>
      </c>
      <c r="P1041" s="4"/>
    </row>
    <row r="1042" spans="2:16" ht="63" x14ac:dyDescent="0.25">
      <c r="B1042" s="2">
        <v>807</v>
      </c>
      <c r="C1042" s="2" t="str">
        <f>"5-15/NOS-122/14"</f>
        <v>5-15/NOS-122/14</v>
      </c>
      <c r="D1042" s="2" t="s">
        <v>16</v>
      </c>
      <c r="E1042" s="2" t="s">
        <v>1250</v>
      </c>
      <c r="F1042" s="2" t="s">
        <v>58</v>
      </c>
      <c r="G1042" s="2" t="str">
        <f>"5-15/NOS-122/14"</f>
        <v>5-15/NOS-122/14</v>
      </c>
      <c r="H1042" s="2" t="str">
        <f t="shared" si="25"/>
        <v>Ugovor - narudžbenica (periodični predmet)</v>
      </c>
      <c r="I1042" s="2" t="s">
        <v>19</v>
      </c>
      <c r="J1042" s="3" t="str">
        <f>"8.578,00"</f>
        <v>8.578,00</v>
      </c>
      <c r="K1042" s="2" t="s">
        <v>178</v>
      </c>
      <c r="L1042" s="2" t="s">
        <v>1331</v>
      </c>
      <c r="M1042" s="2" t="s">
        <v>63</v>
      </c>
      <c r="N1042" s="2" t="str">
        <f>"18.12.2015"</f>
        <v>18.12.2015</v>
      </c>
      <c r="O1042" s="3" t="str">
        <f>"8.578,00"</f>
        <v>8.578,00</v>
      </c>
      <c r="P1042" s="4"/>
    </row>
    <row r="1043" spans="2:16" ht="63" x14ac:dyDescent="0.25">
      <c r="B1043" s="2">
        <v>808</v>
      </c>
      <c r="C1043" s="2" t="str">
        <f>"8-15/NOS-108/14"</f>
        <v>8-15/NOS-108/14</v>
      </c>
      <c r="D1043" s="2" t="s">
        <v>16</v>
      </c>
      <c r="E1043" s="2" t="s">
        <v>1250</v>
      </c>
      <c r="F1043" s="2" t="s">
        <v>41</v>
      </c>
      <c r="G1043" s="2" t="str">
        <f>"8-15/NOS-108/14"</f>
        <v>8-15/NOS-108/14</v>
      </c>
      <c r="H1043" s="2" t="str">
        <f t="shared" si="25"/>
        <v>Ugovor - narudžbenica (periodični predmet)</v>
      </c>
      <c r="I1043" s="2" t="s">
        <v>19</v>
      </c>
      <c r="J1043" s="3" t="str">
        <f>"6.312,00"</f>
        <v>6.312,00</v>
      </c>
      <c r="K1043" s="2" t="s">
        <v>178</v>
      </c>
      <c r="L1043" s="2" t="s">
        <v>516</v>
      </c>
      <c r="M1043" s="2" t="s">
        <v>45</v>
      </c>
      <c r="N1043" s="2" t="str">
        <f>"19.08.2015"</f>
        <v>19.08.2015</v>
      </c>
      <c r="O1043" s="3" t="str">
        <f>"3.912,00"</f>
        <v>3.912,00</v>
      </c>
      <c r="P1043" s="4"/>
    </row>
    <row r="1044" spans="2:16" ht="63" x14ac:dyDescent="0.25">
      <c r="B1044" s="2">
        <v>809</v>
      </c>
      <c r="C1044" s="2" t="str">
        <f>"4-15/NOS-104/14"</f>
        <v>4-15/NOS-104/14</v>
      </c>
      <c r="D1044" s="2" t="s">
        <v>16</v>
      </c>
      <c r="E1044" s="2" t="s">
        <v>1250</v>
      </c>
      <c r="F1044" s="2" t="s">
        <v>37</v>
      </c>
      <c r="G1044" s="2" t="str">
        <f>"4-15/NOS-104/14"</f>
        <v>4-15/NOS-104/14</v>
      </c>
      <c r="H1044" s="2" t="str">
        <f t="shared" si="25"/>
        <v>Ugovor - narudžbenica (periodični predmet)</v>
      </c>
      <c r="I1044" s="2" t="s">
        <v>19</v>
      </c>
      <c r="J1044" s="3" t="str">
        <f>"2.400,00"</f>
        <v>2.400,00</v>
      </c>
      <c r="K1044" s="2" t="s">
        <v>178</v>
      </c>
      <c r="L1044" s="2" t="s">
        <v>1331</v>
      </c>
      <c r="M1044" s="2" t="s">
        <v>40</v>
      </c>
      <c r="N1044" s="2" t="str">
        <f>"13.08.2015"</f>
        <v>13.08.2015</v>
      </c>
      <c r="O1044" s="3" t="str">
        <f>"2.400,00"</f>
        <v>2.400,00</v>
      </c>
      <c r="P1044" s="4"/>
    </row>
    <row r="1045" spans="2:16" ht="63" x14ac:dyDescent="0.25">
      <c r="B1045" s="2">
        <v>810</v>
      </c>
      <c r="C1045" s="2" t="str">
        <f>"22-15/NOS-89/14"</f>
        <v>22-15/NOS-89/14</v>
      </c>
      <c r="D1045" s="2" t="s">
        <v>188</v>
      </c>
      <c r="E1045" s="2" t="s">
        <v>1250</v>
      </c>
      <c r="F1045" s="2" t="s">
        <v>1277</v>
      </c>
      <c r="G1045" s="2" t="str">
        <f>"22-15/NOS-89/14"</f>
        <v>22-15/NOS-89/14</v>
      </c>
      <c r="H1045" s="2" t="str">
        <f t="shared" si="25"/>
        <v>Ugovor - narudžbenica (periodični predmet)</v>
      </c>
      <c r="I1045" s="2" t="s">
        <v>19</v>
      </c>
      <c r="J1045" s="3" t="str">
        <f>"8.680,52"</f>
        <v>8.680,52</v>
      </c>
      <c r="K1045" s="2" t="s">
        <v>178</v>
      </c>
      <c r="L1045" s="2" t="s">
        <v>1333</v>
      </c>
      <c r="M1045" s="2" t="s">
        <v>868</v>
      </c>
      <c r="N1045" s="2" t="str">
        <f>"07.09.2015"</f>
        <v>07.09.2015</v>
      </c>
      <c r="O1045" s="3" t="str">
        <f>"8.647,95"</f>
        <v>8.647,95</v>
      </c>
      <c r="P1045" s="4"/>
    </row>
    <row r="1046" spans="2:16" ht="63" x14ac:dyDescent="0.25">
      <c r="B1046" s="2">
        <v>811</v>
      </c>
      <c r="C1046" s="2" t="str">
        <f>"18-15/NOS-97/14"</f>
        <v>18-15/NOS-97/14</v>
      </c>
      <c r="D1046" s="2" t="s">
        <v>16</v>
      </c>
      <c r="E1046" s="2" t="s">
        <v>1250</v>
      </c>
      <c r="F1046" s="2" t="s">
        <v>1285</v>
      </c>
      <c r="G1046" s="2" t="str">
        <f>"18-15/NOS-97/14"</f>
        <v>18-15/NOS-97/14</v>
      </c>
      <c r="H1046" s="2" t="str">
        <f t="shared" si="25"/>
        <v>Ugovor - narudžbenica (periodični predmet)</v>
      </c>
      <c r="I1046" s="2" t="s">
        <v>19</v>
      </c>
      <c r="J1046" s="3" t="str">
        <f>"14.229,74"</f>
        <v>14.229,74</v>
      </c>
      <c r="K1046" s="2" t="s">
        <v>178</v>
      </c>
      <c r="L1046" s="2" t="s">
        <v>1331</v>
      </c>
      <c r="M1046" s="2" t="s">
        <v>165</v>
      </c>
      <c r="N1046" s="2" t="str">
        <f>"20.10.2015"</f>
        <v>20.10.2015</v>
      </c>
      <c r="O1046" s="3" t="str">
        <f>"14.050,06"</f>
        <v>14.050,06</v>
      </c>
      <c r="P1046" s="2"/>
    </row>
    <row r="1047" spans="2:16" ht="63" x14ac:dyDescent="0.25">
      <c r="B1047" s="2">
        <v>812</v>
      </c>
      <c r="C1047" s="2" t="str">
        <f>"15-15/NOS-83/14"</f>
        <v>15-15/NOS-83/14</v>
      </c>
      <c r="D1047" s="2" t="s">
        <v>28</v>
      </c>
      <c r="E1047" s="2" t="s">
        <v>1250</v>
      </c>
      <c r="F1047" s="2" t="s">
        <v>1273</v>
      </c>
      <c r="G1047" s="2" t="str">
        <f>"15-15/NOS-83/14"</f>
        <v>15-15/NOS-83/14</v>
      </c>
      <c r="H1047" s="2" t="str">
        <f t="shared" si="25"/>
        <v>Ugovor - narudžbenica (periodični predmet)</v>
      </c>
      <c r="I1047" s="2" t="s">
        <v>19</v>
      </c>
      <c r="J1047" s="3" t="str">
        <f>"287.608,00"</f>
        <v>287.608,00</v>
      </c>
      <c r="K1047" s="2" t="s">
        <v>178</v>
      </c>
      <c r="L1047" s="2" t="s">
        <v>1331</v>
      </c>
      <c r="M1047" s="2" t="s">
        <v>754</v>
      </c>
      <c r="N1047" s="2" t="str">
        <f>"27.11.2015"</f>
        <v>27.11.2015</v>
      </c>
      <c r="O1047" s="3" t="str">
        <f>"287.608,00"</f>
        <v>287.608,00</v>
      </c>
      <c r="P1047" s="4"/>
    </row>
    <row r="1048" spans="2:16" ht="63" x14ac:dyDescent="0.25">
      <c r="B1048" s="2">
        <v>813</v>
      </c>
      <c r="C1048" s="2" t="str">
        <f>"6-15/NOS-183/13"</f>
        <v>6-15/NOS-183/13</v>
      </c>
      <c r="D1048" s="2" t="s">
        <v>16</v>
      </c>
      <c r="E1048" s="2" t="s">
        <v>1250</v>
      </c>
      <c r="F1048" s="2" t="s">
        <v>1292</v>
      </c>
      <c r="G1048" s="2" t="str">
        <f>"6-15/NOS-183/13"</f>
        <v>6-15/NOS-183/13</v>
      </c>
      <c r="H1048" s="2" t="str">
        <f t="shared" si="25"/>
        <v>Ugovor - narudžbenica (periodični predmet)</v>
      </c>
      <c r="I1048" s="2" t="s">
        <v>19</v>
      </c>
      <c r="J1048" s="3" t="str">
        <f>"89,80"</f>
        <v>89,80</v>
      </c>
      <c r="K1048" s="2" t="s">
        <v>178</v>
      </c>
      <c r="L1048" s="2" t="s">
        <v>1332</v>
      </c>
      <c r="M1048" s="2" t="s">
        <v>1293</v>
      </c>
      <c r="N1048" s="2" t="str">
        <f>"19.08.2015"</f>
        <v>19.08.2015</v>
      </c>
      <c r="O1048" s="3" t="str">
        <f>"89,80"</f>
        <v>89,80</v>
      </c>
      <c r="P1048" s="4"/>
    </row>
    <row r="1049" spans="2:16" ht="63" x14ac:dyDescent="0.25">
      <c r="B1049" s="2">
        <v>814</v>
      </c>
      <c r="C1049" s="2" t="str">
        <f>"28-15/NOS-29/12"</f>
        <v>28-15/NOS-29/12</v>
      </c>
      <c r="D1049" s="2" t="s">
        <v>85</v>
      </c>
      <c r="E1049" s="2" t="s">
        <v>1250</v>
      </c>
      <c r="F1049" s="2" t="s">
        <v>1269</v>
      </c>
      <c r="G1049" s="2" t="str">
        <f>"28-15/NOS-29/12"</f>
        <v>28-15/NOS-29/12</v>
      </c>
      <c r="H1049" s="2" t="str">
        <f t="shared" si="25"/>
        <v>Ugovor - narudžbenica (periodični predmet)</v>
      </c>
      <c r="I1049" s="2" t="s">
        <v>19</v>
      </c>
      <c r="J1049" s="3" t="str">
        <f>"111.436,24"</f>
        <v>111.436,24</v>
      </c>
      <c r="K1049" s="2" t="s">
        <v>178</v>
      </c>
      <c r="L1049" s="2" t="s">
        <v>1334</v>
      </c>
      <c r="M1049" s="2" t="s">
        <v>1295</v>
      </c>
      <c r="N1049" s="2" t="str">
        <f>"28.12.2015"</f>
        <v>28.12.2015</v>
      </c>
      <c r="O1049" s="3" t="str">
        <f>"107.571,96"</f>
        <v>107.571,96</v>
      </c>
      <c r="P1049" s="4"/>
    </row>
    <row r="1050" spans="2:16" ht="63" x14ac:dyDescent="0.25">
      <c r="B1050" s="2">
        <v>815</v>
      </c>
      <c r="C1050" s="2" t="str">
        <f>"25-15/NOS-100-B-ZGH/14"</f>
        <v>25-15/NOS-100-B-ZGH/14</v>
      </c>
      <c r="D1050" s="2" t="s">
        <v>16</v>
      </c>
      <c r="E1050" s="2" t="s">
        <v>1250</v>
      </c>
      <c r="F1050" s="2" t="s">
        <v>1301</v>
      </c>
      <c r="G1050" s="2" t="str">
        <f>"25-15/NOS-100-B-ZGH/14"</f>
        <v>25-15/NOS-100-B-ZGH/14</v>
      </c>
      <c r="H1050" s="2" t="str">
        <f t="shared" si="25"/>
        <v>Ugovor - narudžbenica (periodični predmet)</v>
      </c>
      <c r="I1050" s="2" t="s">
        <v>19</v>
      </c>
      <c r="J1050" s="3" t="str">
        <f>"459,80"</f>
        <v>459,80</v>
      </c>
      <c r="K1050" s="2" t="s">
        <v>725</v>
      </c>
      <c r="L1050" s="2" t="s">
        <v>743</v>
      </c>
      <c r="M1050" s="2" t="s">
        <v>382</v>
      </c>
      <c r="N1050" s="2" t="str">
        <f>"12.10.2015"</f>
        <v>12.10.2015</v>
      </c>
      <c r="O1050" s="3" t="str">
        <f>"383,40"</f>
        <v>383,40</v>
      </c>
      <c r="P1050" s="4"/>
    </row>
    <row r="1051" spans="2:16" ht="63" x14ac:dyDescent="0.25">
      <c r="B1051" s="2">
        <v>816</v>
      </c>
      <c r="C1051" s="2" t="str">
        <f>"24-15/NOS-100-B-ZGH/14"</f>
        <v>24-15/NOS-100-B-ZGH/14</v>
      </c>
      <c r="D1051" s="2" t="s">
        <v>16</v>
      </c>
      <c r="E1051" s="2" t="s">
        <v>1250</v>
      </c>
      <c r="F1051" s="2" t="s">
        <v>1301</v>
      </c>
      <c r="G1051" s="2" t="str">
        <f>"24-15/NOS-100-B-ZGH/14"</f>
        <v>24-15/NOS-100-B-ZGH/14</v>
      </c>
      <c r="H1051" s="2" t="str">
        <f t="shared" si="25"/>
        <v>Ugovor - narudžbenica (periodični predmet)</v>
      </c>
      <c r="I1051" s="2" t="s">
        <v>19</v>
      </c>
      <c r="J1051" s="3" t="str">
        <f>"90,40"</f>
        <v>90,40</v>
      </c>
      <c r="K1051" s="2" t="s">
        <v>762</v>
      </c>
      <c r="L1051" s="2" t="s">
        <v>696</v>
      </c>
      <c r="M1051" s="2" t="s">
        <v>382</v>
      </c>
      <c r="N1051" s="2" t="str">
        <f>"24.08.2015"</f>
        <v>24.08.2015</v>
      </c>
      <c r="O1051" s="3" t="str">
        <f>"90,40"</f>
        <v>90,40</v>
      </c>
      <c r="P1051" s="4"/>
    </row>
    <row r="1052" spans="2:16" ht="63" x14ac:dyDescent="0.25">
      <c r="B1052" s="2">
        <v>817</v>
      </c>
      <c r="C1052" s="2" t="str">
        <f>"18-15/NOS-24-ZGH/14"</f>
        <v>18-15/NOS-24-ZGH/14</v>
      </c>
      <c r="D1052" s="2" t="s">
        <v>16</v>
      </c>
      <c r="E1052" s="2" t="s">
        <v>1250</v>
      </c>
      <c r="F1052" s="2" t="s">
        <v>1276</v>
      </c>
      <c r="G1052" s="2" t="str">
        <f>"18-15/NOS-24-ZGH/14"</f>
        <v>18-15/NOS-24-ZGH/14</v>
      </c>
      <c r="H1052" s="2" t="str">
        <f t="shared" si="25"/>
        <v>Ugovor - narudžbenica (periodični predmet)</v>
      </c>
      <c r="I1052" s="2" t="s">
        <v>19</v>
      </c>
      <c r="J1052" s="3" t="str">
        <f>"35.352,00"</f>
        <v>35.352,00</v>
      </c>
      <c r="K1052" s="2" t="s">
        <v>526</v>
      </c>
      <c r="L1052" s="2" t="s">
        <v>516</v>
      </c>
      <c r="M1052" s="2" t="s">
        <v>1307</v>
      </c>
      <c r="N1052" s="2" t="str">
        <f>"14.09.2015"</f>
        <v>14.09.2015</v>
      </c>
      <c r="O1052" s="3" t="str">
        <f>"35.150,40"</f>
        <v>35.150,40</v>
      </c>
      <c r="P1052" s="2"/>
    </row>
    <row r="1053" spans="2:16" ht="63" x14ac:dyDescent="0.25">
      <c r="B1053" s="2">
        <v>818</v>
      </c>
      <c r="C1053" s="2" t="str">
        <f>"7-15/NOS-24/15"</f>
        <v>7-15/NOS-24/15</v>
      </c>
      <c r="D1053" s="2" t="s">
        <v>188</v>
      </c>
      <c r="E1053" s="2" t="s">
        <v>1250</v>
      </c>
      <c r="F1053" s="2" t="s">
        <v>305</v>
      </c>
      <c r="G1053" s="2" t="str">
        <f>"7-15/NOS-24/15"</f>
        <v>7-15/NOS-24/15</v>
      </c>
      <c r="H1053" s="2" t="str">
        <f t="shared" si="25"/>
        <v>Ugovor - narudžbenica (periodični predmet)</v>
      </c>
      <c r="I1053" s="2" t="s">
        <v>19</v>
      </c>
      <c r="J1053" s="3" t="str">
        <f>"32.890,00"</f>
        <v>32.890,00</v>
      </c>
      <c r="K1053" s="2" t="s">
        <v>182</v>
      </c>
      <c r="L1053" s="2" t="s">
        <v>1333</v>
      </c>
      <c r="M1053" s="2" t="s">
        <v>218</v>
      </c>
      <c r="N1053" s="2" t="str">
        <f>"19.10.2015"</f>
        <v>19.10.2015</v>
      </c>
      <c r="O1053" s="3" t="str">
        <f>"32.890,00"</f>
        <v>32.890,00</v>
      </c>
      <c r="P1053" s="4"/>
    </row>
    <row r="1054" spans="2:16" ht="78.75" x14ac:dyDescent="0.25">
      <c r="B1054" s="2">
        <v>819</v>
      </c>
      <c r="C1054" s="2" t="str">
        <f>"35-15/NOS-53-ZGH/14"</f>
        <v>35-15/NOS-53-ZGH/14</v>
      </c>
      <c r="D1054" s="2" t="s">
        <v>76</v>
      </c>
      <c r="E1054" s="2" t="s">
        <v>1250</v>
      </c>
      <c r="F1054" s="2" t="s">
        <v>1272</v>
      </c>
      <c r="G1054" s="2" t="str">
        <f>"35-15/NOS-53-ZGH/14"</f>
        <v>35-15/NOS-53-ZGH/14</v>
      </c>
      <c r="H1054" s="2" t="str">
        <f t="shared" si="25"/>
        <v>Ugovor - narudžbenica (periodični predmet)</v>
      </c>
      <c r="I1054" s="2" t="s">
        <v>19</v>
      </c>
      <c r="J1054" s="3" t="str">
        <f>"36.546,80"</f>
        <v>36.546,80</v>
      </c>
      <c r="K1054" s="2" t="s">
        <v>182</v>
      </c>
      <c r="L1054" s="2" t="s">
        <v>1333</v>
      </c>
      <c r="M1054" s="2" t="s">
        <v>1097</v>
      </c>
      <c r="N1054" s="2" t="str">
        <f>"14.09.2015"</f>
        <v>14.09.2015</v>
      </c>
      <c r="O1054" s="3" t="str">
        <f>"28.370,00"</f>
        <v>28.370,00</v>
      </c>
      <c r="P1054" s="2"/>
    </row>
    <row r="1055" spans="2:16" ht="63" x14ac:dyDescent="0.25">
      <c r="B1055" s="2">
        <v>820</v>
      </c>
      <c r="C1055" s="2" t="str">
        <f>"7-15/NOS-99/14"</f>
        <v>7-15/NOS-99/14</v>
      </c>
      <c r="D1055" s="2" t="s">
        <v>16</v>
      </c>
      <c r="E1055" s="2" t="s">
        <v>1250</v>
      </c>
      <c r="F1055" s="2" t="s">
        <v>31</v>
      </c>
      <c r="G1055" s="2" t="str">
        <f>"7-15/NOS-99/14"</f>
        <v>7-15/NOS-99/14</v>
      </c>
      <c r="H1055" s="2" t="str">
        <f t="shared" si="25"/>
        <v>Ugovor - narudžbenica (periodični predmet)</v>
      </c>
      <c r="I1055" s="2" t="s">
        <v>19</v>
      </c>
      <c r="J1055" s="3" t="str">
        <f>"5.570,40"</f>
        <v>5.570,40</v>
      </c>
      <c r="K1055" s="2" t="s">
        <v>182</v>
      </c>
      <c r="L1055" s="2" t="s">
        <v>1333</v>
      </c>
      <c r="M1055" s="2" t="s">
        <v>34</v>
      </c>
      <c r="N1055" s="2" t="str">
        <f>"03.09.2015"</f>
        <v>03.09.2015</v>
      </c>
      <c r="O1055" s="3" t="str">
        <f>"5.284,40"</f>
        <v>5.284,40</v>
      </c>
      <c r="P1055" s="4"/>
    </row>
    <row r="1056" spans="2:16" ht="63" x14ac:dyDescent="0.25">
      <c r="B1056" s="2">
        <v>821</v>
      </c>
      <c r="C1056" s="2" t="str">
        <f>"74-15/NOS-103/13"</f>
        <v>74-15/NOS-103/13</v>
      </c>
      <c r="D1056" s="2" t="s">
        <v>28</v>
      </c>
      <c r="E1056" s="2" t="s">
        <v>1250</v>
      </c>
      <c r="F1056" s="2" t="s">
        <v>543</v>
      </c>
      <c r="G1056" s="2" t="str">
        <f>"74-15/NOS-103/13"</f>
        <v>74-15/NOS-103/13</v>
      </c>
      <c r="H1056" s="2" t="str">
        <f t="shared" si="25"/>
        <v>Ugovor - narudžbenica (periodični predmet)</v>
      </c>
      <c r="I1056" s="2" t="s">
        <v>19</v>
      </c>
      <c r="J1056" s="3" t="str">
        <f>"8.933,00"</f>
        <v>8.933,00</v>
      </c>
      <c r="K1056" s="2" t="s">
        <v>426</v>
      </c>
      <c r="L1056" s="2" t="s">
        <v>516</v>
      </c>
      <c r="M1056" s="2" t="s">
        <v>75</v>
      </c>
      <c r="N1056" s="2" t="str">
        <f>"26.10.2015"</f>
        <v>26.10.2015</v>
      </c>
      <c r="O1056" s="3" t="str">
        <f>"7.484,60"</f>
        <v>7.484,60</v>
      </c>
      <c r="P1056" s="4"/>
    </row>
    <row r="1057" spans="2:16" ht="63" x14ac:dyDescent="0.25">
      <c r="B1057" s="2">
        <v>822</v>
      </c>
      <c r="C1057" s="2" t="str">
        <f>"18-15/NOS-100-A-ZGH/14"</f>
        <v>18-15/NOS-100-A-ZGH/14</v>
      </c>
      <c r="D1057" s="2" t="s">
        <v>28</v>
      </c>
      <c r="E1057" s="2" t="s">
        <v>1250</v>
      </c>
      <c r="F1057" s="2" t="s">
        <v>1301</v>
      </c>
      <c r="G1057" s="2" t="str">
        <f>"18-15/NOS-100-A-ZGH/14"</f>
        <v>18-15/NOS-100-A-ZGH/14</v>
      </c>
      <c r="H1057" s="2" t="str">
        <f t="shared" si="25"/>
        <v>Ugovor - narudžbenica (periodični predmet)</v>
      </c>
      <c r="I1057" s="2" t="s">
        <v>19</v>
      </c>
      <c r="J1057" s="3" t="str">
        <f>"312.349,40"</f>
        <v>312.349,40</v>
      </c>
      <c r="K1057" s="2" t="s">
        <v>92</v>
      </c>
      <c r="L1057" s="2" t="s">
        <v>516</v>
      </c>
      <c r="M1057" s="2" t="s">
        <v>382</v>
      </c>
      <c r="N1057" s="2" t="str">
        <f>"24.08.2015"</f>
        <v>24.08.2015</v>
      </c>
      <c r="O1057" s="3" t="str">
        <f>"312.320,60"</f>
        <v>312.320,60</v>
      </c>
      <c r="P1057" s="4"/>
    </row>
    <row r="1058" spans="2:16" ht="94.5" x14ac:dyDescent="0.25">
      <c r="B1058" s="2">
        <v>823</v>
      </c>
      <c r="C1058" s="2" t="str">
        <f>"20-15/NOS-100-A-ZGH/14"</f>
        <v>20-15/NOS-100-A-ZGH/14</v>
      </c>
      <c r="D1058" s="2" t="s">
        <v>1309</v>
      </c>
      <c r="E1058" s="2" t="s">
        <v>1250</v>
      </c>
      <c r="F1058" s="2" t="s">
        <v>1301</v>
      </c>
      <c r="G1058" s="2" t="str">
        <f>"20-15/NOS-100-A-ZGH/14"</f>
        <v>20-15/NOS-100-A-ZGH/14</v>
      </c>
      <c r="H1058" s="2" t="str">
        <f t="shared" si="25"/>
        <v>Ugovor - narudžbenica (periodični predmet)</v>
      </c>
      <c r="I1058" s="2" t="s">
        <v>19</v>
      </c>
      <c r="J1058" s="3" t="str">
        <f>"454.850,11"</f>
        <v>454.850,11</v>
      </c>
      <c r="K1058" s="2" t="s">
        <v>92</v>
      </c>
      <c r="L1058" s="2" t="s">
        <v>516</v>
      </c>
      <c r="M1058" s="2" t="s">
        <v>382</v>
      </c>
      <c r="N1058" s="2" t="str">
        <f>"15.10.2015"</f>
        <v>15.10.2015</v>
      </c>
      <c r="O1058" s="3" t="str">
        <f>"442.378,18"</f>
        <v>442.378,18</v>
      </c>
      <c r="P1058" s="4"/>
    </row>
    <row r="1059" spans="2:16" ht="63" x14ac:dyDescent="0.25">
      <c r="B1059" s="2">
        <v>824</v>
      </c>
      <c r="C1059" s="2" t="str">
        <f>"5-15/NOS-118/14"</f>
        <v>5-15/NOS-118/14</v>
      </c>
      <c r="D1059" s="2" t="s">
        <v>85</v>
      </c>
      <c r="E1059" s="2" t="s">
        <v>1250</v>
      </c>
      <c r="F1059" s="2" t="s">
        <v>86</v>
      </c>
      <c r="G1059" s="2" t="str">
        <f>"5-15/NOS-118/14"</f>
        <v>5-15/NOS-118/14</v>
      </c>
      <c r="H1059" s="2" t="str">
        <f t="shared" si="25"/>
        <v>Ugovor - narudžbenica (periodični predmet)</v>
      </c>
      <c r="I1059" s="2" t="s">
        <v>19</v>
      </c>
      <c r="J1059" s="3" t="str">
        <f>"60.205,00"</f>
        <v>60.205,00</v>
      </c>
      <c r="K1059" s="2" t="s">
        <v>92</v>
      </c>
      <c r="L1059" s="2" t="s">
        <v>386</v>
      </c>
      <c r="M1059" s="2" t="s">
        <v>84</v>
      </c>
      <c r="N1059" s="2" t="str">
        <f>"13.01.2016"</f>
        <v>13.01.2016</v>
      </c>
      <c r="O1059" s="3" t="str">
        <f>"60.205,00"</f>
        <v>60.205,00</v>
      </c>
      <c r="P1059" s="4"/>
    </row>
    <row r="1060" spans="2:16" ht="63" x14ac:dyDescent="0.25">
      <c r="B1060" s="2">
        <v>825</v>
      </c>
      <c r="C1060" s="2" t="str">
        <f>"7-15/NOS-183/13"</f>
        <v>7-15/NOS-183/13</v>
      </c>
      <c r="D1060" s="2" t="s">
        <v>85</v>
      </c>
      <c r="E1060" s="2" t="s">
        <v>1250</v>
      </c>
      <c r="F1060" s="2" t="s">
        <v>1292</v>
      </c>
      <c r="G1060" s="2" t="str">
        <f>"7-15/NOS-183/13"</f>
        <v>7-15/NOS-183/13</v>
      </c>
      <c r="H1060" s="2" t="str">
        <f t="shared" si="25"/>
        <v>Ugovor - narudžbenica (periodični predmet)</v>
      </c>
      <c r="I1060" s="2" t="s">
        <v>19</v>
      </c>
      <c r="J1060" s="3" t="str">
        <f>"25.078,00"</f>
        <v>25.078,00</v>
      </c>
      <c r="K1060" s="2" t="s">
        <v>92</v>
      </c>
      <c r="L1060" s="2" t="s">
        <v>386</v>
      </c>
      <c r="M1060" s="2" t="s">
        <v>1293</v>
      </c>
      <c r="N1060" s="2" t="str">
        <f>"13.08.2015"</f>
        <v>13.08.2015</v>
      </c>
      <c r="O1060" s="3" t="str">
        <f>"25.078,00"</f>
        <v>25.078,00</v>
      </c>
      <c r="P1060" s="4"/>
    </row>
    <row r="1061" spans="2:16" ht="63" x14ac:dyDescent="0.25">
      <c r="B1061" s="2">
        <v>826</v>
      </c>
      <c r="C1061" s="2" t="str">
        <f>"25-15/NOS-100-A-ZGH/14"</f>
        <v>25-15/NOS-100-A-ZGH/14</v>
      </c>
      <c r="D1061" s="2" t="s">
        <v>16</v>
      </c>
      <c r="E1061" s="2" t="s">
        <v>1250</v>
      </c>
      <c r="F1061" s="2" t="s">
        <v>1301</v>
      </c>
      <c r="G1061" s="2" t="str">
        <f>"25-15/NOS-100-A-ZGH/14"</f>
        <v>25-15/NOS-100-A-ZGH/14</v>
      </c>
      <c r="H1061" s="2" t="str">
        <f t="shared" si="25"/>
        <v>Ugovor - narudžbenica (periodični predmet)</v>
      </c>
      <c r="I1061" s="2" t="s">
        <v>19</v>
      </c>
      <c r="J1061" s="3" t="str">
        <f>"2.160,95"</f>
        <v>2.160,95</v>
      </c>
      <c r="K1061" s="2" t="s">
        <v>92</v>
      </c>
      <c r="L1061" s="2" t="s">
        <v>516</v>
      </c>
      <c r="M1061" s="2" t="s">
        <v>382</v>
      </c>
      <c r="N1061" s="2" t="str">
        <f>"12.10.2015"</f>
        <v>12.10.2015</v>
      </c>
      <c r="O1061" s="3" t="str">
        <f>"2.160,95"</f>
        <v>2.160,95</v>
      </c>
      <c r="P1061" s="4"/>
    </row>
    <row r="1062" spans="2:16" ht="63" x14ac:dyDescent="0.25">
      <c r="B1062" s="2">
        <v>827</v>
      </c>
      <c r="C1062" s="2" t="str">
        <f>"3-15/NOS-210-C/13"</f>
        <v>3-15/NOS-210-C/13</v>
      </c>
      <c r="D1062" s="2" t="s">
        <v>85</v>
      </c>
      <c r="E1062" s="2" t="s">
        <v>1250</v>
      </c>
      <c r="F1062" s="2" t="s">
        <v>1294</v>
      </c>
      <c r="G1062" s="2" t="str">
        <f>"3-15/NOS-210-C/13"</f>
        <v>3-15/NOS-210-C/13</v>
      </c>
      <c r="H1062" s="2" t="str">
        <f t="shared" si="25"/>
        <v>Ugovor - narudžbenica (periodični predmet)</v>
      </c>
      <c r="I1062" s="2" t="s">
        <v>19</v>
      </c>
      <c r="J1062" s="3" t="str">
        <f>"4.184,24"</f>
        <v>4.184,24</v>
      </c>
      <c r="K1062" s="2" t="s">
        <v>155</v>
      </c>
      <c r="L1062" s="2" t="s">
        <v>386</v>
      </c>
      <c r="M1062" s="2" t="s">
        <v>1335</v>
      </c>
      <c r="N1062" s="2" t="str">
        <f>"24.08.2015"</f>
        <v>24.08.2015</v>
      </c>
      <c r="O1062" s="3" t="str">
        <f>"4.184,24"</f>
        <v>4.184,24</v>
      </c>
      <c r="P1062" s="4"/>
    </row>
    <row r="1063" spans="2:16" ht="63" x14ac:dyDescent="0.25">
      <c r="B1063" s="2">
        <v>828</v>
      </c>
      <c r="C1063" s="2" t="str">
        <f>"2-15/NOS-19/15"</f>
        <v>2-15/NOS-19/15</v>
      </c>
      <c r="D1063" s="2" t="s">
        <v>16</v>
      </c>
      <c r="E1063" s="2" t="s">
        <v>1250</v>
      </c>
      <c r="F1063" s="2" t="s">
        <v>277</v>
      </c>
      <c r="G1063" s="2" t="str">
        <f>"2-15/NOS-19/15"</f>
        <v>2-15/NOS-19/15</v>
      </c>
      <c r="H1063" s="2" t="str">
        <f t="shared" si="25"/>
        <v>Ugovor - narudžbenica (periodični predmet)</v>
      </c>
      <c r="I1063" s="2" t="s">
        <v>19</v>
      </c>
      <c r="J1063" s="3" t="str">
        <f>"4.046,90"</f>
        <v>4.046,90</v>
      </c>
      <c r="K1063" s="2" t="s">
        <v>155</v>
      </c>
      <c r="L1063" s="2" t="s">
        <v>386</v>
      </c>
      <c r="M1063" s="2" t="s">
        <v>44</v>
      </c>
      <c r="N1063" s="2" t="str">
        <f>"19.08.2015"</f>
        <v>19.08.2015</v>
      </c>
      <c r="O1063" s="3" t="str">
        <f>"1.136,00"</f>
        <v>1.136,00</v>
      </c>
      <c r="P1063" s="4"/>
    </row>
    <row r="1064" spans="2:16" ht="63" x14ac:dyDescent="0.25">
      <c r="B1064" s="2">
        <v>829</v>
      </c>
      <c r="C1064" s="2" t="str">
        <f>"11-15/NOS-47/14"</f>
        <v>11-15/NOS-47/14</v>
      </c>
      <c r="D1064" s="2" t="s">
        <v>16</v>
      </c>
      <c r="E1064" s="2" t="s">
        <v>1250</v>
      </c>
      <c r="F1064" s="2" t="s">
        <v>1298</v>
      </c>
      <c r="G1064" s="2" t="str">
        <f>"11-15/NOS-47/14"</f>
        <v>11-15/NOS-47/14</v>
      </c>
      <c r="H1064" s="2" t="str">
        <f t="shared" si="25"/>
        <v>Ugovor - narudžbenica (periodični predmet)</v>
      </c>
      <c r="I1064" s="2" t="s">
        <v>19</v>
      </c>
      <c r="J1064" s="3" t="str">
        <f>"346,10"</f>
        <v>346,10</v>
      </c>
      <c r="K1064" s="2" t="s">
        <v>155</v>
      </c>
      <c r="L1064" s="2" t="s">
        <v>386</v>
      </c>
      <c r="M1064" s="2" t="s">
        <v>960</v>
      </c>
      <c r="N1064" s="2" t="str">
        <f>"10.09.2015"</f>
        <v>10.09.2015</v>
      </c>
      <c r="O1064" s="3" t="str">
        <f>"346,10"</f>
        <v>346,10</v>
      </c>
      <c r="P1064" s="4"/>
    </row>
    <row r="1065" spans="2:16" ht="63" x14ac:dyDescent="0.25">
      <c r="B1065" s="2">
        <v>830</v>
      </c>
      <c r="C1065" s="2" t="str">
        <f>"10-15/NOS-56/14"</f>
        <v>10-15/NOS-56/14</v>
      </c>
      <c r="D1065" s="2" t="s">
        <v>16</v>
      </c>
      <c r="E1065" s="2" t="s">
        <v>1250</v>
      </c>
      <c r="F1065" s="2" t="s">
        <v>1286</v>
      </c>
      <c r="G1065" s="2" t="str">
        <f>"10-15/NOS-56/14"</f>
        <v>10-15/NOS-56/14</v>
      </c>
      <c r="H1065" s="2" t="str">
        <f t="shared" si="25"/>
        <v>Ugovor - narudžbenica (periodični predmet)</v>
      </c>
      <c r="I1065" s="2" t="s">
        <v>19</v>
      </c>
      <c r="J1065" s="3" t="str">
        <f>"7.975,00"</f>
        <v>7.975,00</v>
      </c>
      <c r="K1065" s="2" t="s">
        <v>155</v>
      </c>
      <c r="L1065" s="2" t="s">
        <v>386</v>
      </c>
      <c r="M1065" s="2" t="s">
        <v>715</v>
      </c>
      <c r="N1065" s="2" t="str">
        <f>"08.09.2015"</f>
        <v>08.09.2015</v>
      </c>
      <c r="O1065" s="3" t="str">
        <f>"3.190,00"</f>
        <v>3.190,00</v>
      </c>
      <c r="P1065" s="4"/>
    </row>
    <row r="1066" spans="2:16" s="19" customFormat="1" ht="63" x14ac:dyDescent="0.25">
      <c r="B1066" s="16">
        <v>831</v>
      </c>
      <c r="C1066" s="16" t="str">
        <f>"5-15/NOS-67/14"</f>
        <v>5-15/NOS-67/14</v>
      </c>
      <c r="D1066" s="16" t="s">
        <v>16</v>
      </c>
      <c r="E1066" s="16" t="s">
        <v>1250</v>
      </c>
      <c r="F1066" s="16" t="s">
        <v>1314</v>
      </c>
      <c r="G1066" s="16" t="str">
        <f>"5-15/NOS-67/14"</f>
        <v>5-15/NOS-67/14</v>
      </c>
      <c r="H1066" s="16" t="str">
        <f t="shared" si="25"/>
        <v>Ugovor - narudžbenica (periodični predmet)</v>
      </c>
      <c r="I1066" s="16" t="s">
        <v>19</v>
      </c>
      <c r="J1066" s="17" t="str">
        <f>"6.677,40"</f>
        <v>6.677,40</v>
      </c>
      <c r="K1066" s="16" t="s">
        <v>155</v>
      </c>
      <c r="L1066" s="16" t="s">
        <v>386</v>
      </c>
      <c r="M1066" s="16" t="s">
        <v>44</v>
      </c>
      <c r="N1066" s="16" t="str">
        <f>"26.08.2015"</f>
        <v>26.08.2015</v>
      </c>
      <c r="O1066" s="17" t="str">
        <f>"6.684,66"</f>
        <v>6.684,66</v>
      </c>
      <c r="P1066" s="16" t="s">
        <v>699</v>
      </c>
    </row>
    <row r="1067" spans="2:16" ht="63" x14ac:dyDescent="0.25">
      <c r="B1067" s="2">
        <v>832</v>
      </c>
      <c r="C1067" s="2" t="str">
        <f>"7-15/NOS-210-A/13"</f>
        <v>7-15/NOS-210-A/13</v>
      </c>
      <c r="D1067" s="2" t="s">
        <v>85</v>
      </c>
      <c r="E1067" s="2" t="s">
        <v>1250</v>
      </c>
      <c r="F1067" s="2" t="s">
        <v>1294</v>
      </c>
      <c r="G1067" s="2" t="str">
        <f>"7-15/NOS-210-A/13"</f>
        <v>7-15/NOS-210-A/13</v>
      </c>
      <c r="H1067" s="2" t="str">
        <f t="shared" si="25"/>
        <v>Ugovor - narudžbenica (periodični predmet)</v>
      </c>
      <c r="I1067" s="2" t="s">
        <v>19</v>
      </c>
      <c r="J1067" s="3" t="str">
        <f>"62.992,70"</f>
        <v>62.992,70</v>
      </c>
      <c r="K1067" s="2" t="s">
        <v>155</v>
      </c>
      <c r="L1067" s="2" t="s">
        <v>1333</v>
      </c>
      <c r="M1067" s="2" t="s">
        <v>84</v>
      </c>
      <c r="N1067" s="2" t="str">
        <f>"23.10.2015"</f>
        <v>23.10.2015</v>
      </c>
      <c r="O1067" s="3" t="str">
        <f>"62.992,70"</f>
        <v>62.992,70</v>
      </c>
      <c r="P1067" s="4"/>
    </row>
    <row r="1068" spans="2:16" ht="63" x14ac:dyDescent="0.25">
      <c r="B1068" s="2">
        <v>833</v>
      </c>
      <c r="C1068" s="2" t="str">
        <f>"16-15/NOS-83/14"</f>
        <v>16-15/NOS-83/14</v>
      </c>
      <c r="D1068" s="2" t="s">
        <v>28</v>
      </c>
      <c r="E1068" s="2" t="s">
        <v>1250</v>
      </c>
      <c r="F1068" s="2" t="s">
        <v>1273</v>
      </c>
      <c r="G1068" s="2" t="str">
        <f>"16-15/NOS-83/14"</f>
        <v>16-15/NOS-83/14</v>
      </c>
      <c r="H1068" s="2" t="str">
        <f t="shared" si="25"/>
        <v>Ugovor - narudžbenica (periodični predmet)</v>
      </c>
      <c r="I1068" s="2" t="s">
        <v>19</v>
      </c>
      <c r="J1068" s="3" t="str">
        <f>"37.751,00"</f>
        <v>37.751,00</v>
      </c>
      <c r="K1068" s="2" t="s">
        <v>155</v>
      </c>
      <c r="L1068" s="2" t="s">
        <v>386</v>
      </c>
      <c r="M1068" s="2" t="s">
        <v>941</v>
      </c>
      <c r="N1068" s="2" t="str">
        <f>"04.09.2015"</f>
        <v>04.09.2015</v>
      </c>
      <c r="O1068" s="3" t="str">
        <f>"37.751,00"</f>
        <v>37.751,00</v>
      </c>
      <c r="P1068" s="4"/>
    </row>
    <row r="1069" spans="2:16" ht="63" x14ac:dyDescent="0.25">
      <c r="B1069" s="2">
        <v>834</v>
      </c>
      <c r="C1069" s="2" t="str">
        <f>"23-15/NOS-89/14"</f>
        <v>23-15/NOS-89/14</v>
      </c>
      <c r="D1069" s="2" t="s">
        <v>16</v>
      </c>
      <c r="E1069" s="2" t="s">
        <v>1250</v>
      </c>
      <c r="F1069" s="2" t="s">
        <v>1277</v>
      </c>
      <c r="G1069" s="2" t="str">
        <f>"23-15/NOS-89/14"</f>
        <v>23-15/NOS-89/14</v>
      </c>
      <c r="H1069" s="2" t="str">
        <f t="shared" si="25"/>
        <v>Ugovor - narudžbenica (periodični predmet)</v>
      </c>
      <c r="I1069" s="2" t="s">
        <v>19</v>
      </c>
      <c r="J1069" s="3" t="str">
        <f>"24.783,82"</f>
        <v>24.783,82</v>
      </c>
      <c r="K1069" s="2" t="s">
        <v>155</v>
      </c>
      <c r="L1069" s="2" t="s">
        <v>386</v>
      </c>
      <c r="M1069" s="2" t="s">
        <v>868</v>
      </c>
      <c r="N1069" s="2" t="str">
        <f>"14.10.2015"</f>
        <v>14.10.2015</v>
      </c>
      <c r="O1069" s="3" t="str">
        <f>"24.776,97"</f>
        <v>24.776,97</v>
      </c>
      <c r="P1069" s="4"/>
    </row>
    <row r="1070" spans="2:16" ht="63" x14ac:dyDescent="0.25">
      <c r="B1070" s="2">
        <v>836</v>
      </c>
      <c r="C1070" s="2" t="str">
        <f>"19-15/NOS-97/14"</f>
        <v>19-15/NOS-97/14</v>
      </c>
      <c r="D1070" s="2" t="s">
        <v>16</v>
      </c>
      <c r="E1070" s="2" t="s">
        <v>1250</v>
      </c>
      <c r="F1070" s="2" t="s">
        <v>1285</v>
      </c>
      <c r="G1070" s="2" t="str">
        <f>"19-15/NOS-97/14"</f>
        <v>19-15/NOS-97/14</v>
      </c>
      <c r="H1070" s="2" t="str">
        <f t="shared" ref="H1070:H1100" si="26">"Ugovor - narudžbenica (periodični predmet)"</f>
        <v>Ugovor - narudžbenica (periodični predmet)</v>
      </c>
      <c r="I1070" s="2" t="s">
        <v>19</v>
      </c>
      <c r="J1070" s="3" t="str">
        <f>"4.030,54"</f>
        <v>4.030,54</v>
      </c>
      <c r="K1070" s="2" t="s">
        <v>155</v>
      </c>
      <c r="L1070" s="2" t="s">
        <v>386</v>
      </c>
      <c r="M1070" s="2" t="s">
        <v>44</v>
      </c>
      <c r="N1070" s="2" t="str">
        <f>"20.11.2015"</f>
        <v>20.11.2015</v>
      </c>
      <c r="O1070" s="3" t="str">
        <f>"3.963,41"</f>
        <v>3.963,41</v>
      </c>
      <c r="P1070" s="4"/>
    </row>
    <row r="1071" spans="2:16" s="15" customFormat="1" ht="78.75" x14ac:dyDescent="0.25">
      <c r="B1071" s="12">
        <v>837</v>
      </c>
      <c r="C1071" s="12" t="str">
        <f>"1-15/NOS-102-A-ZGH/14"</f>
        <v>1-15/NOS-102-A-ZGH/14</v>
      </c>
      <c r="D1071" s="12" t="s">
        <v>1275</v>
      </c>
      <c r="E1071" s="12" t="s">
        <v>1250</v>
      </c>
      <c r="F1071" s="12" t="s">
        <v>1336</v>
      </c>
      <c r="G1071" s="12" t="str">
        <f>"1-15/NOS-102-A-ZGH/14"</f>
        <v>1-15/NOS-102-A-ZGH/14</v>
      </c>
      <c r="H1071" s="12" t="str">
        <f t="shared" si="26"/>
        <v>Ugovor - narudžbenica (periodični predmet)</v>
      </c>
      <c r="I1071" s="12" t="s">
        <v>19</v>
      </c>
      <c r="J1071" s="13" t="str">
        <f>"11.628,90"</f>
        <v>11.628,90</v>
      </c>
      <c r="K1071" s="12" t="s">
        <v>155</v>
      </c>
      <c r="L1071" s="12" t="s">
        <v>1066</v>
      </c>
      <c r="M1071" s="12" t="s">
        <v>384</v>
      </c>
      <c r="N1071" s="12" t="s">
        <v>23</v>
      </c>
      <c r="O1071" s="13" t="str">
        <f>"0,00"</f>
        <v>0,00</v>
      </c>
      <c r="P1071" s="14"/>
    </row>
    <row r="1072" spans="2:16" ht="63" x14ac:dyDescent="0.25">
      <c r="B1072" s="2">
        <v>838</v>
      </c>
      <c r="C1072" s="2" t="str">
        <f>"9-15/NOS-108/14"</f>
        <v>9-15/NOS-108/14</v>
      </c>
      <c r="D1072" s="2" t="s">
        <v>16</v>
      </c>
      <c r="E1072" s="2" t="s">
        <v>1250</v>
      </c>
      <c r="F1072" s="2" t="s">
        <v>41</v>
      </c>
      <c r="G1072" s="2" t="str">
        <f>"9-15/NOS-108/14"</f>
        <v>9-15/NOS-108/14</v>
      </c>
      <c r="H1072" s="2" t="str">
        <f t="shared" si="26"/>
        <v>Ugovor - narudžbenica (periodični predmet)</v>
      </c>
      <c r="I1072" s="2" t="s">
        <v>19</v>
      </c>
      <c r="J1072" s="3" t="str">
        <f>"20.417,00"</f>
        <v>20.417,00</v>
      </c>
      <c r="K1072" s="2" t="s">
        <v>155</v>
      </c>
      <c r="L1072" s="2" t="s">
        <v>386</v>
      </c>
      <c r="M1072" s="2" t="s">
        <v>44</v>
      </c>
      <c r="N1072" s="2" t="str">
        <f>"02.11.2015"</f>
        <v>02.11.2015</v>
      </c>
      <c r="O1072" s="3" t="str">
        <f>"20.417,00"</f>
        <v>20.417,00</v>
      </c>
      <c r="P1072" s="4"/>
    </row>
    <row r="1073" spans="2:16" ht="63" x14ac:dyDescent="0.25">
      <c r="B1073" s="2">
        <v>839</v>
      </c>
      <c r="C1073" s="2" t="str">
        <f>"8-15/NOS-112/14"</f>
        <v>8-15/NOS-112/14</v>
      </c>
      <c r="D1073" s="2" t="s">
        <v>16</v>
      </c>
      <c r="E1073" s="2" t="s">
        <v>1250</v>
      </c>
      <c r="F1073" s="2" t="s">
        <v>77</v>
      </c>
      <c r="G1073" s="2" t="str">
        <f>"8-15/NOS-112/14"</f>
        <v>8-15/NOS-112/14</v>
      </c>
      <c r="H1073" s="2" t="str">
        <f t="shared" si="26"/>
        <v>Ugovor - narudžbenica (periodični predmet)</v>
      </c>
      <c r="I1073" s="2" t="s">
        <v>19</v>
      </c>
      <c r="J1073" s="3" t="str">
        <f>"10.400,00"</f>
        <v>10.400,00</v>
      </c>
      <c r="K1073" s="2" t="s">
        <v>155</v>
      </c>
      <c r="L1073" s="2" t="s">
        <v>386</v>
      </c>
      <c r="M1073" s="2" t="s">
        <v>80</v>
      </c>
      <c r="N1073" s="2" t="str">
        <f>"01.09.2015"</f>
        <v>01.09.2015</v>
      </c>
      <c r="O1073" s="3" t="str">
        <f>"10.400,00"</f>
        <v>10.400,00</v>
      </c>
      <c r="P1073" s="4"/>
    </row>
    <row r="1074" spans="2:16" ht="63" x14ac:dyDescent="0.25">
      <c r="B1074" s="2">
        <v>840</v>
      </c>
      <c r="C1074" s="2" t="str">
        <f>"35-15/NOS-109/13"</f>
        <v>35-15/NOS-109/13</v>
      </c>
      <c r="D1074" s="2" t="s">
        <v>16</v>
      </c>
      <c r="E1074" s="2" t="s">
        <v>1250</v>
      </c>
      <c r="F1074" s="2" t="s">
        <v>1312</v>
      </c>
      <c r="G1074" s="2" t="str">
        <f>"35-15/NOS-109/13"</f>
        <v>35-15/NOS-109/13</v>
      </c>
      <c r="H1074" s="2" t="str">
        <f t="shared" si="26"/>
        <v>Ugovor - narudžbenica (periodični predmet)</v>
      </c>
      <c r="I1074" s="2" t="s">
        <v>19</v>
      </c>
      <c r="J1074" s="3" t="str">
        <f>"4.821,61"</f>
        <v>4.821,61</v>
      </c>
      <c r="K1074" s="2" t="s">
        <v>155</v>
      </c>
      <c r="L1074" s="2" t="s">
        <v>386</v>
      </c>
      <c r="M1074" s="2" t="s">
        <v>44</v>
      </c>
      <c r="N1074" s="2" t="str">
        <f>"26.11.2015"</f>
        <v>26.11.2015</v>
      </c>
      <c r="O1074" s="3" t="str">
        <f>"2.303,48"</f>
        <v>2.303,48</v>
      </c>
      <c r="P1074" s="4"/>
    </row>
    <row r="1075" spans="2:16" ht="63" x14ac:dyDescent="0.25">
      <c r="B1075" s="2">
        <v>841</v>
      </c>
      <c r="C1075" s="2" t="str">
        <f>"17-15/NOS-117/13"</f>
        <v>17-15/NOS-117/13</v>
      </c>
      <c r="D1075" s="2" t="s">
        <v>16</v>
      </c>
      <c r="E1075" s="2" t="s">
        <v>1250</v>
      </c>
      <c r="F1075" s="2" t="s">
        <v>1265</v>
      </c>
      <c r="G1075" s="2" t="str">
        <f>"17-15/NOS-117/13"</f>
        <v>17-15/NOS-117/13</v>
      </c>
      <c r="H1075" s="2" t="str">
        <f t="shared" si="26"/>
        <v>Ugovor - narudžbenica (periodični predmet)</v>
      </c>
      <c r="I1075" s="2" t="s">
        <v>19</v>
      </c>
      <c r="J1075" s="3" t="str">
        <f>"200,00"</f>
        <v>200,00</v>
      </c>
      <c r="K1075" s="2" t="s">
        <v>516</v>
      </c>
      <c r="L1075" s="2" t="s">
        <v>386</v>
      </c>
      <c r="M1075" s="2" t="s">
        <v>84</v>
      </c>
      <c r="N1075" s="2" t="str">
        <f>"07.09.2015"</f>
        <v>07.09.2015</v>
      </c>
      <c r="O1075" s="3" t="str">
        <f>"200,00"</f>
        <v>200,00</v>
      </c>
      <c r="P1075" s="4"/>
    </row>
    <row r="1076" spans="2:16" ht="63" x14ac:dyDescent="0.25">
      <c r="B1076" s="2">
        <v>842</v>
      </c>
      <c r="C1076" s="2" t="str">
        <f>"12-15/NOS-205/13"</f>
        <v>12-15/NOS-205/13</v>
      </c>
      <c r="D1076" s="2" t="s">
        <v>16</v>
      </c>
      <c r="E1076" s="2" t="s">
        <v>1250</v>
      </c>
      <c r="F1076" s="2" t="s">
        <v>1290</v>
      </c>
      <c r="G1076" s="2" t="str">
        <f>"12-15/NOS-205/13"</f>
        <v>12-15/NOS-205/13</v>
      </c>
      <c r="H1076" s="2" t="str">
        <f t="shared" si="26"/>
        <v>Ugovor - narudžbenica (periodični predmet)</v>
      </c>
      <c r="I1076" s="2" t="s">
        <v>19</v>
      </c>
      <c r="J1076" s="3" t="str">
        <f>"768,80"</f>
        <v>768,80</v>
      </c>
      <c r="K1076" s="2" t="s">
        <v>516</v>
      </c>
      <c r="L1076" s="2" t="s">
        <v>386</v>
      </c>
      <c r="M1076" s="2" t="s">
        <v>44</v>
      </c>
      <c r="N1076" s="2" t="str">
        <f>"01.09.2015"</f>
        <v>01.09.2015</v>
      </c>
      <c r="O1076" s="3" t="str">
        <f>"768,80"</f>
        <v>768,80</v>
      </c>
      <c r="P1076" s="4"/>
    </row>
    <row r="1077" spans="2:16" ht="63" x14ac:dyDescent="0.25">
      <c r="B1077" s="2">
        <v>843</v>
      </c>
      <c r="C1077" s="2" t="str">
        <f>"6-15/NOS-209/13"</f>
        <v>6-15/NOS-209/13</v>
      </c>
      <c r="D1077" s="2" t="s">
        <v>16</v>
      </c>
      <c r="E1077" s="2" t="s">
        <v>1250</v>
      </c>
      <c r="F1077" s="2" t="s">
        <v>1296</v>
      </c>
      <c r="G1077" s="2" t="str">
        <f>"6-15/NOS-209/13"</f>
        <v>6-15/NOS-209/13</v>
      </c>
      <c r="H1077" s="2" t="str">
        <f t="shared" si="26"/>
        <v>Ugovor - narudžbenica (periodični predmet)</v>
      </c>
      <c r="I1077" s="2" t="s">
        <v>19</v>
      </c>
      <c r="J1077" s="3" t="str">
        <f>"478,40"</f>
        <v>478,40</v>
      </c>
      <c r="K1077" s="2" t="s">
        <v>516</v>
      </c>
      <c r="L1077" s="2" t="s">
        <v>386</v>
      </c>
      <c r="M1077" s="2" t="s">
        <v>111</v>
      </c>
      <c r="N1077" s="2" t="str">
        <f>"26.08.2015"</f>
        <v>26.08.2015</v>
      </c>
      <c r="O1077" s="3" t="str">
        <f>"478,40"</f>
        <v>478,40</v>
      </c>
      <c r="P1077" s="4"/>
    </row>
    <row r="1078" spans="2:16" ht="78.75" x14ac:dyDescent="0.25">
      <c r="B1078" s="2">
        <v>844</v>
      </c>
      <c r="C1078" s="2" t="str">
        <f>"9-15/NOS-218/13"</f>
        <v>9-15/NOS-218/13</v>
      </c>
      <c r="D1078" s="2" t="s">
        <v>16</v>
      </c>
      <c r="E1078" s="2" t="s">
        <v>1250</v>
      </c>
      <c r="F1078" s="2" t="s">
        <v>1270</v>
      </c>
      <c r="G1078" s="2" t="str">
        <f>"9-15/NOS-218/13"</f>
        <v>9-15/NOS-218/13</v>
      </c>
      <c r="H1078" s="2" t="str">
        <f t="shared" si="26"/>
        <v>Ugovor - narudžbenica (periodični predmet)</v>
      </c>
      <c r="I1078" s="2" t="s">
        <v>19</v>
      </c>
      <c r="J1078" s="3" t="str">
        <f>"810,00"</f>
        <v>810,00</v>
      </c>
      <c r="K1078" s="2" t="s">
        <v>516</v>
      </c>
      <c r="L1078" s="2" t="s">
        <v>386</v>
      </c>
      <c r="M1078" s="2" t="s">
        <v>920</v>
      </c>
      <c r="N1078" s="2" t="str">
        <f>"02.10.2015"</f>
        <v>02.10.2015</v>
      </c>
      <c r="O1078" s="3" t="str">
        <f>"810,00"</f>
        <v>810,00</v>
      </c>
      <c r="P1078" s="4"/>
    </row>
    <row r="1079" spans="2:16" s="15" customFormat="1" ht="63" x14ac:dyDescent="0.25">
      <c r="B1079" s="12">
        <v>845</v>
      </c>
      <c r="C1079" s="12" t="str">
        <f>"5-15/NOS-40/14"</f>
        <v>5-15/NOS-40/14</v>
      </c>
      <c r="D1079" s="12" t="s">
        <v>16</v>
      </c>
      <c r="E1079" s="12" t="s">
        <v>1250</v>
      </c>
      <c r="F1079" s="12" t="s">
        <v>1210</v>
      </c>
      <c r="G1079" s="12" t="str">
        <f>"5-15/NOS-40/14"</f>
        <v>5-15/NOS-40/14</v>
      </c>
      <c r="H1079" s="12" t="str">
        <f t="shared" si="26"/>
        <v>Ugovor - narudžbenica (periodični predmet)</v>
      </c>
      <c r="I1079" s="12" t="s">
        <v>19</v>
      </c>
      <c r="J1079" s="13" t="str">
        <f>"18.131,87"</f>
        <v>18.131,87</v>
      </c>
      <c r="K1079" s="12" t="s">
        <v>516</v>
      </c>
      <c r="L1079" s="12" t="s">
        <v>1333</v>
      </c>
      <c r="M1079" s="12" t="s">
        <v>805</v>
      </c>
      <c r="N1079" s="12" t="s">
        <v>23</v>
      </c>
      <c r="O1079" s="13" t="str">
        <f>"0,00"</f>
        <v>0,00</v>
      </c>
      <c r="P1079" s="14"/>
    </row>
    <row r="1080" spans="2:16" s="15" customFormat="1" ht="63" x14ac:dyDescent="0.25">
      <c r="B1080" s="12">
        <v>846</v>
      </c>
      <c r="C1080" s="12" t="str">
        <f>"7-15/NOS-122/14"</f>
        <v>7-15/NOS-122/14</v>
      </c>
      <c r="D1080" s="12" t="s">
        <v>16</v>
      </c>
      <c r="E1080" s="12" t="s">
        <v>1250</v>
      </c>
      <c r="F1080" s="12" t="s">
        <v>58</v>
      </c>
      <c r="G1080" s="12" t="str">
        <f>"7-15/NOS-122/14"</f>
        <v>7-15/NOS-122/14</v>
      </c>
      <c r="H1080" s="12" t="str">
        <f t="shared" si="26"/>
        <v>Ugovor - narudžbenica (periodični predmet)</v>
      </c>
      <c r="I1080" s="12" t="s">
        <v>19</v>
      </c>
      <c r="J1080" s="13" t="str">
        <f>"9.113,00"</f>
        <v>9.113,00</v>
      </c>
      <c r="K1080" s="12" t="s">
        <v>514</v>
      </c>
      <c r="L1080" s="12" t="s">
        <v>386</v>
      </c>
      <c r="M1080" s="12" t="s">
        <v>63</v>
      </c>
      <c r="N1080" s="12" t="str">
        <f>"17.09.2015"</f>
        <v>17.09.2015</v>
      </c>
      <c r="O1080" s="13" t="str">
        <f>"9.113,00"</f>
        <v>9.113,00</v>
      </c>
      <c r="P1080" s="14"/>
    </row>
    <row r="1081" spans="2:16" s="15" customFormat="1" ht="63" x14ac:dyDescent="0.25">
      <c r="B1081" s="12">
        <v>847</v>
      </c>
      <c r="C1081" s="12" t="str">
        <f>"1-15/NOS-39/15"</f>
        <v>1-15/NOS-39/15</v>
      </c>
      <c r="D1081" s="12" t="s">
        <v>28</v>
      </c>
      <c r="E1081" s="12" t="s">
        <v>1250</v>
      </c>
      <c r="F1081" s="12" t="s">
        <v>300</v>
      </c>
      <c r="G1081" s="12" t="str">
        <f>"1-15/NOS-39/15"</f>
        <v>1-15/NOS-39/15</v>
      </c>
      <c r="H1081" s="12" t="str">
        <f t="shared" si="26"/>
        <v>Ugovor - narudžbenica (periodični predmet)</v>
      </c>
      <c r="I1081" s="12" t="s">
        <v>19</v>
      </c>
      <c r="J1081" s="13" t="str">
        <f>"149.541,00"</f>
        <v>149.541,00</v>
      </c>
      <c r="K1081" s="12" t="s">
        <v>514</v>
      </c>
      <c r="L1081" s="12" t="s">
        <v>1071</v>
      </c>
      <c r="M1081" s="12" t="s">
        <v>270</v>
      </c>
      <c r="N1081" s="12" t="str">
        <f>"06.10.2015"</f>
        <v>06.10.2015</v>
      </c>
      <c r="O1081" s="13" t="str">
        <f>"136.764,00"</f>
        <v>136.764,00</v>
      </c>
      <c r="P1081" s="12"/>
    </row>
    <row r="1082" spans="2:16" s="15" customFormat="1" ht="63" x14ac:dyDescent="0.25">
      <c r="B1082" s="12">
        <v>848</v>
      </c>
      <c r="C1082" s="12" t="str">
        <f>"1-15/NOS-75-A/15"</f>
        <v>1-15/NOS-75-A/15</v>
      </c>
      <c r="D1082" s="12" t="s">
        <v>16</v>
      </c>
      <c r="E1082" s="12" t="s">
        <v>1250</v>
      </c>
      <c r="F1082" s="12" t="s">
        <v>1337</v>
      </c>
      <c r="G1082" s="12" t="str">
        <f>"1-15/NOS-75-A/15"</f>
        <v>1-15/NOS-75-A/15</v>
      </c>
      <c r="H1082" s="12" t="str">
        <f t="shared" si="26"/>
        <v>Ugovor - narudžbenica (periodični predmet)</v>
      </c>
      <c r="I1082" s="12" t="s">
        <v>19</v>
      </c>
      <c r="J1082" s="13" t="str">
        <f>"108.074,00"</f>
        <v>108.074,00</v>
      </c>
      <c r="K1082" s="12" t="s">
        <v>514</v>
      </c>
      <c r="L1082" s="12" t="s">
        <v>1071</v>
      </c>
      <c r="M1082" s="12" t="s">
        <v>218</v>
      </c>
      <c r="N1082" s="12" t="s">
        <v>23</v>
      </c>
      <c r="O1082" s="13" t="str">
        <f>"0,00"</f>
        <v>0,00</v>
      </c>
      <c r="P1082" s="14"/>
    </row>
    <row r="1083" spans="2:16" ht="63" x14ac:dyDescent="0.25">
      <c r="B1083" s="2">
        <v>849</v>
      </c>
      <c r="C1083" s="2" t="str">
        <f>"8-15/NOS-24/15"</f>
        <v>8-15/NOS-24/15</v>
      </c>
      <c r="D1083" s="2" t="s">
        <v>16</v>
      </c>
      <c r="E1083" s="2" t="s">
        <v>1250</v>
      </c>
      <c r="F1083" s="2" t="s">
        <v>305</v>
      </c>
      <c r="G1083" s="2" t="str">
        <f>"8-15/NOS-24/15"</f>
        <v>8-15/NOS-24/15</v>
      </c>
      <c r="H1083" s="2" t="str">
        <f t="shared" si="26"/>
        <v>Ugovor - narudžbenica (periodični predmet)</v>
      </c>
      <c r="I1083" s="2" t="s">
        <v>19</v>
      </c>
      <c r="J1083" s="3" t="str">
        <f>"11.140,00"</f>
        <v>11.140,00</v>
      </c>
      <c r="K1083" s="2" t="s">
        <v>657</v>
      </c>
      <c r="L1083" s="2" t="s">
        <v>386</v>
      </c>
      <c r="M1083" s="2" t="s">
        <v>218</v>
      </c>
      <c r="N1083" s="2" t="str">
        <f>"01.09.2015"</f>
        <v>01.09.2015</v>
      </c>
      <c r="O1083" s="3" t="str">
        <f>"4.890,00"</f>
        <v>4.890,00</v>
      </c>
      <c r="P1083" s="4"/>
    </row>
    <row r="1084" spans="2:16" ht="63" x14ac:dyDescent="0.25">
      <c r="B1084" s="2">
        <v>850</v>
      </c>
      <c r="C1084" s="2" t="str">
        <f>"19-15/NOS-24-ZGH/14"</f>
        <v>19-15/NOS-24-ZGH/14</v>
      </c>
      <c r="D1084" s="2" t="s">
        <v>16</v>
      </c>
      <c r="E1084" s="2" t="s">
        <v>1250</v>
      </c>
      <c r="F1084" s="2" t="s">
        <v>1276</v>
      </c>
      <c r="G1084" s="2" t="str">
        <f>"19-15/NOS-24-ZGH/14"</f>
        <v>19-15/NOS-24-ZGH/14</v>
      </c>
      <c r="H1084" s="2" t="str">
        <f t="shared" si="26"/>
        <v>Ugovor - narudžbenica (periodični predmet)</v>
      </c>
      <c r="I1084" s="2" t="s">
        <v>19</v>
      </c>
      <c r="J1084" s="3" t="str">
        <f>"29.081,00"</f>
        <v>29.081,00</v>
      </c>
      <c r="K1084" s="2" t="s">
        <v>657</v>
      </c>
      <c r="L1084" s="2" t="s">
        <v>386</v>
      </c>
      <c r="M1084" s="2" t="s">
        <v>836</v>
      </c>
      <c r="N1084" s="2" t="str">
        <f>"25.09.2015"</f>
        <v>25.09.2015</v>
      </c>
      <c r="O1084" s="3" t="str">
        <f>"29.081,00"</f>
        <v>29.081,00</v>
      </c>
      <c r="P1084" s="4"/>
    </row>
    <row r="1085" spans="2:16" ht="63" x14ac:dyDescent="0.25">
      <c r="B1085" s="2">
        <v>851</v>
      </c>
      <c r="C1085" s="2" t="str">
        <f>"1-15/NOS-54/15"</f>
        <v>1-15/NOS-54/15</v>
      </c>
      <c r="D1085" s="2" t="s">
        <v>16</v>
      </c>
      <c r="E1085" s="2" t="s">
        <v>1250</v>
      </c>
      <c r="F1085" s="2" t="s">
        <v>255</v>
      </c>
      <c r="G1085" s="2" t="str">
        <f>"1-15/NOS-54/15"</f>
        <v>1-15/NOS-54/15</v>
      </c>
      <c r="H1085" s="2" t="str">
        <f t="shared" si="26"/>
        <v>Ugovor - narudžbenica (periodični predmet)</v>
      </c>
      <c r="I1085" s="2" t="s">
        <v>19</v>
      </c>
      <c r="J1085" s="3" t="str">
        <f>"23.750,00"</f>
        <v>23.750,00</v>
      </c>
      <c r="K1085" s="2" t="s">
        <v>657</v>
      </c>
      <c r="L1085" s="2" t="s">
        <v>1081</v>
      </c>
      <c r="M1085" s="2" t="s">
        <v>84</v>
      </c>
      <c r="N1085" s="2" t="str">
        <f>"21.09.2015"</f>
        <v>21.09.2015</v>
      </c>
      <c r="O1085" s="3" t="str">
        <f>"950,00"</f>
        <v>950,00</v>
      </c>
      <c r="P1085" s="4"/>
    </row>
    <row r="1086" spans="2:16" s="19" customFormat="1" ht="63" x14ac:dyDescent="0.25">
      <c r="B1086" s="16">
        <v>852</v>
      </c>
      <c r="C1086" s="16" t="str">
        <f>"1-15/NOS-63-A/15"</f>
        <v>1-15/NOS-63-A/15</v>
      </c>
      <c r="D1086" s="16" t="s">
        <v>16</v>
      </c>
      <c r="E1086" s="16" t="s">
        <v>1250</v>
      </c>
      <c r="F1086" s="16" t="s">
        <v>1338</v>
      </c>
      <c r="G1086" s="16" t="str">
        <f>"1-15/NOS-63-A/15"</f>
        <v>1-15/NOS-63-A/15</v>
      </c>
      <c r="H1086" s="16" t="str">
        <f t="shared" si="26"/>
        <v>Ugovor - narudžbenica (periodični predmet)</v>
      </c>
      <c r="I1086" s="16" t="s">
        <v>19</v>
      </c>
      <c r="J1086" s="17" t="str">
        <f>"16.440,00"</f>
        <v>16.440,00</v>
      </c>
      <c r="K1086" s="16" t="s">
        <v>657</v>
      </c>
      <c r="L1086" s="16" t="s">
        <v>1339</v>
      </c>
      <c r="M1086" s="16" t="s">
        <v>164</v>
      </c>
      <c r="N1086" s="16" t="str">
        <f>"28.08.2015"</f>
        <v>28.08.2015</v>
      </c>
      <c r="O1086" s="17" t="str">
        <f>"17.107,20"</f>
        <v>17.107,20</v>
      </c>
      <c r="P1086" s="16" t="s">
        <v>698</v>
      </c>
    </row>
    <row r="1087" spans="2:16" ht="63" x14ac:dyDescent="0.25">
      <c r="B1087" s="2">
        <v>853</v>
      </c>
      <c r="C1087" s="2" t="str">
        <f>"5-15/NOS-203/13"</f>
        <v>5-15/NOS-203/13</v>
      </c>
      <c r="D1087" s="2" t="s">
        <v>16</v>
      </c>
      <c r="E1087" s="2" t="s">
        <v>1250</v>
      </c>
      <c r="F1087" s="2" t="s">
        <v>1303</v>
      </c>
      <c r="G1087" s="2" t="str">
        <f>"5-15/NOS-203/13"</f>
        <v>5-15/NOS-203/13</v>
      </c>
      <c r="H1087" s="2" t="str">
        <f t="shared" si="26"/>
        <v>Ugovor - narudžbenica (periodični predmet)</v>
      </c>
      <c r="I1087" s="2" t="s">
        <v>19</v>
      </c>
      <c r="J1087" s="3" t="str">
        <f>"804,07"</f>
        <v>804,07</v>
      </c>
      <c r="K1087" s="2" t="s">
        <v>657</v>
      </c>
      <c r="L1087" s="2" t="s">
        <v>386</v>
      </c>
      <c r="M1087" s="2" t="s">
        <v>1305</v>
      </c>
      <c r="N1087" s="2" t="str">
        <f>"22.09.2015"</f>
        <v>22.09.2015</v>
      </c>
      <c r="O1087" s="3" t="str">
        <f>"804,07"</f>
        <v>804,07</v>
      </c>
      <c r="P1087" s="4"/>
    </row>
    <row r="1088" spans="2:16" ht="63" x14ac:dyDescent="0.25">
      <c r="B1088" s="2">
        <v>854</v>
      </c>
      <c r="C1088" s="2" t="str">
        <f>"75-15/NOS-103/13"</f>
        <v>75-15/NOS-103/13</v>
      </c>
      <c r="D1088" s="2" t="s">
        <v>85</v>
      </c>
      <c r="E1088" s="2" t="s">
        <v>1250</v>
      </c>
      <c r="F1088" s="2" t="s">
        <v>543</v>
      </c>
      <c r="G1088" s="2" t="str">
        <f>"75-15/NOS-103/13"</f>
        <v>75-15/NOS-103/13</v>
      </c>
      <c r="H1088" s="2" t="str">
        <f t="shared" si="26"/>
        <v>Ugovor - narudžbenica (periodični predmet)</v>
      </c>
      <c r="I1088" s="2" t="s">
        <v>19</v>
      </c>
      <c r="J1088" s="3" t="str">
        <f>"5.519,09"</f>
        <v>5.519,09</v>
      </c>
      <c r="K1088" s="2" t="s">
        <v>657</v>
      </c>
      <c r="L1088" s="2" t="s">
        <v>979</v>
      </c>
      <c r="M1088" s="2" t="s">
        <v>75</v>
      </c>
      <c r="N1088" s="2" t="str">
        <f>"29.09.2015"</f>
        <v>29.09.2015</v>
      </c>
      <c r="O1088" s="3" t="str">
        <f>"5.519,09"</f>
        <v>5.519,09</v>
      </c>
      <c r="P1088" s="4"/>
    </row>
    <row r="1089" spans="2:16" ht="63" x14ac:dyDescent="0.25">
      <c r="B1089" s="2">
        <v>855</v>
      </c>
      <c r="C1089" s="2" t="str">
        <f>"7-15/NOS-121-C/14"</f>
        <v>7-15/NOS-121-C/14</v>
      </c>
      <c r="D1089" s="2" t="s">
        <v>16</v>
      </c>
      <c r="E1089" s="2" t="s">
        <v>1250</v>
      </c>
      <c r="F1089" s="2" t="s">
        <v>1316</v>
      </c>
      <c r="G1089" s="2" t="str">
        <f>"7-15/NOS-121-C/14"</f>
        <v>7-15/NOS-121-C/14</v>
      </c>
      <c r="H1089" s="2" t="str">
        <f t="shared" si="26"/>
        <v>Ugovor - narudžbenica (periodični predmet)</v>
      </c>
      <c r="I1089" s="2" t="s">
        <v>19</v>
      </c>
      <c r="J1089" s="3" t="str">
        <f>"41.839,20"</f>
        <v>41.839,20</v>
      </c>
      <c r="K1089" s="2" t="s">
        <v>657</v>
      </c>
      <c r="L1089" s="2" t="s">
        <v>979</v>
      </c>
      <c r="M1089" s="2" t="s">
        <v>599</v>
      </c>
      <c r="N1089" s="2" t="str">
        <f>"16.09.2015"</f>
        <v>16.09.2015</v>
      </c>
      <c r="O1089" s="3" t="str">
        <f>"41.839,20"</f>
        <v>41.839,20</v>
      </c>
      <c r="P1089" s="4"/>
    </row>
    <row r="1090" spans="2:16" ht="63" x14ac:dyDescent="0.25">
      <c r="B1090" s="2">
        <v>856</v>
      </c>
      <c r="C1090" s="2" t="str">
        <f>"6-15/NOS-118/14"</f>
        <v>6-15/NOS-118/14</v>
      </c>
      <c r="D1090" s="2" t="s">
        <v>85</v>
      </c>
      <c r="E1090" s="2" t="s">
        <v>1250</v>
      </c>
      <c r="F1090" s="2" t="s">
        <v>86</v>
      </c>
      <c r="G1090" s="2" t="str">
        <f>"6-15/NOS-118/14"</f>
        <v>6-15/NOS-118/14</v>
      </c>
      <c r="H1090" s="2" t="str">
        <f t="shared" si="26"/>
        <v>Ugovor - narudžbenica (periodični predmet)</v>
      </c>
      <c r="I1090" s="2" t="s">
        <v>19</v>
      </c>
      <c r="J1090" s="3" t="str">
        <f>"14.096,00"</f>
        <v>14.096,00</v>
      </c>
      <c r="K1090" s="2" t="s">
        <v>657</v>
      </c>
      <c r="L1090" s="2" t="s">
        <v>979</v>
      </c>
      <c r="M1090" s="2" t="s">
        <v>84</v>
      </c>
      <c r="N1090" s="2" t="str">
        <f>"28.10.2015"</f>
        <v>28.10.2015</v>
      </c>
      <c r="O1090" s="3" t="str">
        <f>"14.096,00"</f>
        <v>14.096,00</v>
      </c>
      <c r="P1090" s="4"/>
    </row>
    <row r="1091" spans="2:16" ht="63" x14ac:dyDescent="0.25">
      <c r="B1091" s="2">
        <v>857</v>
      </c>
      <c r="C1091" s="2" t="str">
        <f>"39-15/NOS-53-ZGH/14"</f>
        <v>39-15/NOS-53-ZGH/14</v>
      </c>
      <c r="D1091" s="2" t="s">
        <v>28</v>
      </c>
      <c r="E1091" s="2" t="s">
        <v>1250</v>
      </c>
      <c r="F1091" s="2" t="s">
        <v>1272</v>
      </c>
      <c r="G1091" s="2" t="str">
        <f>"39-15/NOS-53-ZGH/14"</f>
        <v>39-15/NOS-53-ZGH/14</v>
      </c>
      <c r="H1091" s="2" t="str">
        <f t="shared" si="26"/>
        <v>Ugovor - narudžbenica (periodični predmet)</v>
      </c>
      <c r="I1091" s="2" t="s">
        <v>19</v>
      </c>
      <c r="J1091" s="3" t="str">
        <f>"13.064,10"</f>
        <v>13.064,10</v>
      </c>
      <c r="K1091" s="2" t="s">
        <v>657</v>
      </c>
      <c r="L1091" s="2" t="s">
        <v>979</v>
      </c>
      <c r="M1091" s="2" t="s">
        <v>1097</v>
      </c>
      <c r="N1091" s="2" t="str">
        <f>"01.09.2015"</f>
        <v>01.09.2015</v>
      </c>
      <c r="O1091" s="3" t="str">
        <f>"13.064,10"</f>
        <v>13.064,10</v>
      </c>
      <c r="P1091" s="4"/>
    </row>
    <row r="1092" spans="2:16" ht="63" x14ac:dyDescent="0.25">
      <c r="B1092" s="2">
        <v>858</v>
      </c>
      <c r="C1092" s="2" t="str">
        <f>"8-15/NOS-210-A/13"</f>
        <v>8-15/NOS-210-A/13</v>
      </c>
      <c r="D1092" s="2" t="s">
        <v>85</v>
      </c>
      <c r="E1092" s="2" t="s">
        <v>1250</v>
      </c>
      <c r="F1092" s="2" t="s">
        <v>1294</v>
      </c>
      <c r="G1092" s="2" t="str">
        <f>"8-15/NOS-210-A/13"</f>
        <v>8-15/NOS-210-A/13</v>
      </c>
      <c r="H1092" s="2" t="str">
        <f t="shared" si="26"/>
        <v>Ugovor - narudžbenica (periodični predmet)</v>
      </c>
      <c r="I1092" s="2" t="s">
        <v>19</v>
      </c>
      <c r="J1092" s="3" t="str">
        <f>"7.800,00"</f>
        <v>7.800,00</v>
      </c>
      <c r="K1092" s="2" t="s">
        <v>657</v>
      </c>
      <c r="L1092" s="2" t="s">
        <v>979</v>
      </c>
      <c r="M1092" s="2" t="s">
        <v>89</v>
      </c>
      <c r="N1092" s="2" t="str">
        <f>"29.09.2015"</f>
        <v>29.09.2015</v>
      </c>
      <c r="O1092" s="3" t="str">
        <f>"7.800,00"</f>
        <v>7.800,00</v>
      </c>
      <c r="P1092" s="4"/>
    </row>
    <row r="1093" spans="2:16" ht="63" x14ac:dyDescent="0.25">
      <c r="B1093" s="2">
        <v>859</v>
      </c>
      <c r="C1093" s="2" t="str">
        <f>"20-15/NOS-97/14"</f>
        <v>20-15/NOS-97/14</v>
      </c>
      <c r="D1093" s="2" t="s">
        <v>16</v>
      </c>
      <c r="E1093" s="2" t="s">
        <v>1250</v>
      </c>
      <c r="F1093" s="2" t="s">
        <v>1285</v>
      </c>
      <c r="G1093" s="2" t="str">
        <f>"20-15/NOS-97/14"</f>
        <v>20-15/NOS-97/14</v>
      </c>
      <c r="H1093" s="2" t="str">
        <f t="shared" si="26"/>
        <v>Ugovor - narudžbenica (periodični predmet)</v>
      </c>
      <c r="I1093" s="2" t="s">
        <v>19</v>
      </c>
      <c r="J1093" s="3" t="str">
        <f>"34.192,27"</f>
        <v>34.192,27</v>
      </c>
      <c r="K1093" s="2" t="s">
        <v>1334</v>
      </c>
      <c r="L1093" s="2" t="s">
        <v>1339</v>
      </c>
      <c r="M1093" s="2" t="s">
        <v>164</v>
      </c>
      <c r="N1093" s="2" t="str">
        <f>"23.09.2015"</f>
        <v>23.09.2015</v>
      </c>
      <c r="O1093" s="3" t="str">
        <f>"34.043,35"</f>
        <v>34.043,35</v>
      </c>
      <c r="P1093" s="4"/>
    </row>
    <row r="1094" spans="2:16" ht="63" x14ac:dyDescent="0.25">
      <c r="B1094" s="2">
        <v>860</v>
      </c>
      <c r="C1094" s="2" t="str">
        <f>"8-15/NOS-122/14"</f>
        <v>8-15/NOS-122/14</v>
      </c>
      <c r="D1094" s="2" t="s">
        <v>28</v>
      </c>
      <c r="E1094" s="2" t="s">
        <v>1250</v>
      </c>
      <c r="F1094" s="2" t="s">
        <v>58</v>
      </c>
      <c r="G1094" s="2" t="str">
        <f>"8-15/NOS-122/14"</f>
        <v>8-15/NOS-122/14</v>
      </c>
      <c r="H1094" s="2" t="str">
        <f t="shared" si="26"/>
        <v>Ugovor - narudžbenica (periodični predmet)</v>
      </c>
      <c r="I1094" s="2" t="s">
        <v>19</v>
      </c>
      <c r="J1094" s="3" t="str">
        <f>"2.087,00"</f>
        <v>2.087,00</v>
      </c>
      <c r="K1094" s="2" t="s">
        <v>1334</v>
      </c>
      <c r="L1094" s="2" t="s">
        <v>1339</v>
      </c>
      <c r="M1094" s="2" t="s">
        <v>61</v>
      </c>
      <c r="N1094" s="2" t="str">
        <f>"04.01.2016"</f>
        <v>04.01.2016</v>
      </c>
      <c r="O1094" s="3" t="str">
        <f>"2.087,00"</f>
        <v>2.087,00</v>
      </c>
      <c r="P1094" s="4"/>
    </row>
    <row r="1095" spans="2:16" ht="63" x14ac:dyDescent="0.25">
      <c r="B1095" s="2">
        <v>861</v>
      </c>
      <c r="C1095" s="2" t="str">
        <f>"12-15/NOS-47/14"</f>
        <v>12-15/NOS-47/14</v>
      </c>
      <c r="D1095" s="2" t="s">
        <v>16</v>
      </c>
      <c r="E1095" s="2" t="s">
        <v>1250</v>
      </c>
      <c r="F1095" s="2" t="s">
        <v>1298</v>
      </c>
      <c r="G1095" s="2" t="str">
        <f>"12-15/NOS-47/14"</f>
        <v>12-15/NOS-47/14</v>
      </c>
      <c r="H1095" s="2" t="str">
        <f t="shared" si="26"/>
        <v>Ugovor - narudžbenica (periodični predmet)</v>
      </c>
      <c r="I1095" s="2" t="s">
        <v>19</v>
      </c>
      <c r="J1095" s="3" t="str">
        <f>"630,28"</f>
        <v>630,28</v>
      </c>
      <c r="K1095" s="2" t="s">
        <v>1334</v>
      </c>
      <c r="L1095" s="2" t="s">
        <v>1081</v>
      </c>
      <c r="M1095" s="2" t="s">
        <v>960</v>
      </c>
      <c r="N1095" s="2" t="str">
        <f>"27.08.2015"</f>
        <v>27.08.2015</v>
      </c>
      <c r="O1095" s="3" t="str">
        <f>"630,28"</f>
        <v>630,28</v>
      </c>
      <c r="P1095" s="4"/>
    </row>
    <row r="1096" spans="2:16" ht="63" x14ac:dyDescent="0.25">
      <c r="B1096" s="2">
        <v>862</v>
      </c>
      <c r="C1096" s="2" t="str">
        <f>"1-15/NOS-75-F/15"</f>
        <v>1-15/NOS-75-F/15</v>
      </c>
      <c r="D1096" s="2" t="s">
        <v>16</v>
      </c>
      <c r="E1096" s="2" t="s">
        <v>1250</v>
      </c>
      <c r="F1096" s="2" t="s">
        <v>1337</v>
      </c>
      <c r="G1096" s="2" t="str">
        <f>"1-15/NOS-75-F/15"</f>
        <v>1-15/NOS-75-F/15</v>
      </c>
      <c r="H1096" s="2" t="str">
        <f t="shared" si="26"/>
        <v>Ugovor - narudžbenica (periodični predmet)</v>
      </c>
      <c r="I1096" s="2" t="s">
        <v>19</v>
      </c>
      <c r="J1096" s="3" t="str">
        <f>"20.001,00"</f>
        <v>20.001,00</v>
      </c>
      <c r="K1096" s="2" t="s">
        <v>1334</v>
      </c>
      <c r="L1096" s="2" t="s">
        <v>1339</v>
      </c>
      <c r="M1096" s="2" t="s">
        <v>218</v>
      </c>
      <c r="N1096" s="2" t="str">
        <f>"28.10.2015"</f>
        <v>28.10.2015</v>
      </c>
      <c r="O1096" s="3" t="str">
        <f>"3.509,00"</f>
        <v>3.509,00</v>
      </c>
      <c r="P1096" s="4"/>
    </row>
    <row r="1097" spans="2:16" s="15" customFormat="1" ht="63" x14ac:dyDescent="0.25">
      <c r="B1097" s="12">
        <v>863</v>
      </c>
      <c r="C1097" s="12" t="str">
        <f>"8-15/NOS-90/14"</f>
        <v>8-15/NOS-90/14</v>
      </c>
      <c r="D1097" s="12" t="s">
        <v>16</v>
      </c>
      <c r="E1097" s="12" t="s">
        <v>1250</v>
      </c>
      <c r="F1097" s="12" t="s">
        <v>1274</v>
      </c>
      <c r="G1097" s="12" t="str">
        <f>"8-15/NOS-90/14"</f>
        <v>8-15/NOS-90/14</v>
      </c>
      <c r="H1097" s="12" t="str">
        <f t="shared" si="26"/>
        <v>Ugovor - narudžbenica (periodični predmet)</v>
      </c>
      <c r="I1097" s="12" t="s">
        <v>19</v>
      </c>
      <c r="J1097" s="13" t="str">
        <f>"5.400,00"</f>
        <v>5.400,00</v>
      </c>
      <c r="K1097" s="12" t="s">
        <v>1334</v>
      </c>
      <c r="L1097" s="12" t="s">
        <v>979</v>
      </c>
      <c r="M1097" s="12" t="s">
        <v>419</v>
      </c>
      <c r="N1097" s="12" t="s">
        <v>23</v>
      </c>
      <c r="O1097" s="13" t="str">
        <f>"0,00"</f>
        <v>0,00</v>
      </c>
      <c r="P1097" s="14"/>
    </row>
    <row r="1098" spans="2:16" ht="63" x14ac:dyDescent="0.25">
      <c r="B1098" s="2">
        <v>864</v>
      </c>
      <c r="C1098" s="2" t="str">
        <f>"6-15/NOS-203/13"</f>
        <v>6-15/NOS-203/13</v>
      </c>
      <c r="D1098" s="2" t="s">
        <v>16</v>
      </c>
      <c r="E1098" s="2" t="s">
        <v>1250</v>
      </c>
      <c r="F1098" s="2" t="s">
        <v>1303</v>
      </c>
      <c r="G1098" s="2" t="str">
        <f>"6-15/NOS-203/13"</f>
        <v>6-15/NOS-203/13</v>
      </c>
      <c r="H1098" s="2" t="str">
        <f t="shared" si="26"/>
        <v>Ugovor - narudžbenica (periodični predmet)</v>
      </c>
      <c r="I1098" s="2" t="s">
        <v>19</v>
      </c>
      <c r="J1098" s="3" t="str">
        <f>"2.948,22"</f>
        <v>2.948,22</v>
      </c>
      <c r="K1098" s="2" t="s">
        <v>1334</v>
      </c>
      <c r="L1098" s="2" t="s">
        <v>1339</v>
      </c>
      <c r="M1098" s="2" t="s">
        <v>1305</v>
      </c>
      <c r="N1098" s="2" t="str">
        <f>"16.09.2015"</f>
        <v>16.09.2015</v>
      </c>
      <c r="O1098" s="3" t="str">
        <f>"2.948,22"</f>
        <v>2.948,22</v>
      </c>
      <c r="P1098" s="4"/>
    </row>
    <row r="1099" spans="2:16" ht="63" x14ac:dyDescent="0.25">
      <c r="B1099" s="2">
        <v>865</v>
      </c>
      <c r="C1099" s="2" t="str">
        <f>"13-15/NOS-205/13"</f>
        <v>13-15/NOS-205/13</v>
      </c>
      <c r="D1099" s="2" t="s">
        <v>16</v>
      </c>
      <c r="E1099" s="2" t="s">
        <v>1250</v>
      </c>
      <c r="F1099" s="2" t="s">
        <v>1290</v>
      </c>
      <c r="G1099" s="2" t="str">
        <f>"13-15/NOS-205/13"</f>
        <v>13-15/NOS-205/13</v>
      </c>
      <c r="H1099" s="2" t="str">
        <f t="shared" si="26"/>
        <v>Ugovor - narudžbenica (periodični predmet)</v>
      </c>
      <c r="I1099" s="2" t="s">
        <v>19</v>
      </c>
      <c r="J1099" s="3" t="str">
        <f>"1.590,00"</f>
        <v>1.590,00</v>
      </c>
      <c r="K1099" s="2" t="s">
        <v>1334</v>
      </c>
      <c r="L1099" s="2" t="s">
        <v>1339</v>
      </c>
      <c r="M1099" s="2" t="s">
        <v>84</v>
      </c>
      <c r="N1099" s="2" t="str">
        <f>"28.09.2015"</f>
        <v>28.09.2015</v>
      </c>
      <c r="O1099" s="3" t="str">
        <f>"1.590,00"</f>
        <v>1.590,00</v>
      </c>
      <c r="P1099" s="4"/>
    </row>
    <row r="1100" spans="2:16" ht="63" x14ac:dyDescent="0.25">
      <c r="B1100" s="2">
        <v>866</v>
      </c>
      <c r="C1100" s="2" t="str">
        <f>"1-15/NOS-83-A/15"</f>
        <v>1-15/NOS-83-A/15</v>
      </c>
      <c r="D1100" s="2" t="s">
        <v>16</v>
      </c>
      <c r="E1100" s="2" t="s">
        <v>1250</v>
      </c>
      <c r="F1100" s="2" t="s">
        <v>1340</v>
      </c>
      <c r="G1100" s="2" t="str">
        <f>"1-15/NOS-83-A/15"</f>
        <v>1-15/NOS-83-A/15</v>
      </c>
      <c r="H1100" s="2" t="str">
        <f t="shared" si="26"/>
        <v>Ugovor - narudžbenica (periodični predmet)</v>
      </c>
      <c r="I1100" s="2" t="s">
        <v>19</v>
      </c>
      <c r="J1100" s="3" t="str">
        <f>"19.856,00"</f>
        <v>19.856,00</v>
      </c>
      <c r="K1100" s="2" t="s">
        <v>1334</v>
      </c>
      <c r="L1100" s="2" t="s">
        <v>1339</v>
      </c>
      <c r="M1100" s="2" t="s">
        <v>61</v>
      </c>
      <c r="N1100" s="2" t="str">
        <f>"27.08.2015"</f>
        <v>27.08.2015</v>
      </c>
      <c r="O1100" s="3" t="str">
        <f>"19.856,00"</f>
        <v>19.856,00</v>
      </c>
      <c r="P1100" s="4"/>
    </row>
    <row r="1101" spans="2:16" ht="63" x14ac:dyDescent="0.25">
      <c r="B1101" s="2">
        <v>867</v>
      </c>
      <c r="C1101" s="2" t="str">
        <f>"41-15/NOS-53-ZGH/14"</f>
        <v>41-15/NOS-53-ZGH/14</v>
      </c>
      <c r="D1101" s="2" t="s">
        <v>16</v>
      </c>
      <c r="E1101" s="2" t="s">
        <v>1250</v>
      </c>
      <c r="F1101" s="2" t="s">
        <v>1272</v>
      </c>
      <c r="G1101" s="2" t="str">
        <f>"41-15/NOS-53-ZGH/14"</f>
        <v>41-15/NOS-53-ZGH/14</v>
      </c>
      <c r="H1101" s="2" t="str">
        <f t="shared" ref="H1101:H1132" si="27">"Ugovor - narudžbenica (periodični predmet)"</f>
        <v>Ugovor - narudžbenica (periodični predmet)</v>
      </c>
      <c r="I1101" s="2" t="s">
        <v>19</v>
      </c>
      <c r="J1101" s="3" t="str">
        <f>"2.198,00"</f>
        <v>2.198,00</v>
      </c>
      <c r="K1101" s="2" t="s">
        <v>464</v>
      </c>
      <c r="L1101" s="2" t="s">
        <v>1341</v>
      </c>
      <c r="M1101" s="2" t="s">
        <v>1097</v>
      </c>
      <c r="N1101" s="2" t="str">
        <f>"01.09.2015"</f>
        <v>01.09.2015</v>
      </c>
      <c r="O1101" s="3" t="str">
        <f>"2.198,00"</f>
        <v>2.198,00</v>
      </c>
      <c r="P1101" s="4"/>
    </row>
    <row r="1102" spans="2:16" ht="63" x14ac:dyDescent="0.25">
      <c r="B1102" s="2">
        <v>868</v>
      </c>
      <c r="C1102" s="2" t="str">
        <f>"9-15/NOS-24/15"</f>
        <v>9-15/NOS-24/15</v>
      </c>
      <c r="D1102" s="2" t="s">
        <v>242</v>
      </c>
      <c r="E1102" s="2" t="s">
        <v>1250</v>
      </c>
      <c r="F1102" s="2" t="s">
        <v>305</v>
      </c>
      <c r="G1102" s="2" t="str">
        <f>"9-15/NOS-24/15"</f>
        <v>9-15/NOS-24/15</v>
      </c>
      <c r="H1102" s="2" t="str">
        <f t="shared" si="27"/>
        <v>Ugovor - narudžbenica (periodični predmet)</v>
      </c>
      <c r="I1102" s="2" t="s">
        <v>19</v>
      </c>
      <c r="J1102" s="3" t="str">
        <f>"30.870,00"</f>
        <v>30.870,00</v>
      </c>
      <c r="K1102" s="2" t="s">
        <v>464</v>
      </c>
      <c r="L1102" s="2" t="s">
        <v>1339</v>
      </c>
      <c r="M1102" s="2" t="s">
        <v>218</v>
      </c>
      <c r="N1102" s="2" t="str">
        <f>"09.11.2015"</f>
        <v>09.11.2015</v>
      </c>
      <c r="O1102" s="3" t="str">
        <f>"30.870,00"</f>
        <v>30.870,00</v>
      </c>
      <c r="P1102" s="4"/>
    </row>
    <row r="1103" spans="2:16" ht="63" x14ac:dyDescent="0.25">
      <c r="B1103" s="2">
        <v>869</v>
      </c>
      <c r="C1103" s="2" t="str">
        <f>"2-15/NOS-75-A/15"</f>
        <v>2-15/NOS-75-A/15</v>
      </c>
      <c r="D1103" s="2" t="s">
        <v>16</v>
      </c>
      <c r="E1103" s="2" t="s">
        <v>1250</v>
      </c>
      <c r="F1103" s="2" t="s">
        <v>1337</v>
      </c>
      <c r="G1103" s="2" t="str">
        <f>"2-15/NOS-75-A/15"</f>
        <v>2-15/NOS-75-A/15</v>
      </c>
      <c r="H1103" s="2" t="str">
        <f t="shared" si="27"/>
        <v>Ugovor - narudžbenica (periodični predmet)</v>
      </c>
      <c r="I1103" s="2" t="s">
        <v>19</v>
      </c>
      <c r="J1103" s="3" t="str">
        <f>"798.330,00"</f>
        <v>798.330,00</v>
      </c>
      <c r="K1103" s="2" t="s">
        <v>464</v>
      </c>
      <c r="L1103" s="2" t="s">
        <v>1339</v>
      </c>
      <c r="M1103" s="2" t="s">
        <v>218</v>
      </c>
      <c r="N1103" s="2" t="str">
        <f>"11.11.2015"</f>
        <v>11.11.2015</v>
      </c>
      <c r="O1103" s="3" t="str">
        <f>"668.730,00"</f>
        <v>668.730,00</v>
      </c>
      <c r="P1103" s="4"/>
    </row>
    <row r="1104" spans="2:16" ht="63" x14ac:dyDescent="0.25">
      <c r="B1104" s="2">
        <v>870</v>
      </c>
      <c r="C1104" s="2" t="str">
        <f>"30-15/NOS-29/12"</f>
        <v>30-15/NOS-29/12</v>
      </c>
      <c r="D1104" s="2" t="s">
        <v>85</v>
      </c>
      <c r="E1104" s="2" t="s">
        <v>1250</v>
      </c>
      <c r="F1104" s="2" t="s">
        <v>1269</v>
      </c>
      <c r="G1104" s="2" t="str">
        <f>"30-15/NOS-29/12"</f>
        <v>30-15/NOS-29/12</v>
      </c>
      <c r="H1104" s="2" t="str">
        <f t="shared" si="27"/>
        <v>Ugovor - narudžbenica (periodični predmet)</v>
      </c>
      <c r="I1104" s="2" t="s">
        <v>19</v>
      </c>
      <c r="J1104" s="3" t="str">
        <f>"114.497,95"</f>
        <v>114.497,95</v>
      </c>
      <c r="K1104" s="2" t="s">
        <v>464</v>
      </c>
      <c r="L1104" s="2" t="s">
        <v>448</v>
      </c>
      <c r="M1104" s="2" t="s">
        <v>345</v>
      </c>
      <c r="N1104" s="2" t="str">
        <f>"23.10.2015"</f>
        <v>23.10.2015</v>
      </c>
      <c r="O1104" s="3" t="str">
        <f>"114.497,95"</f>
        <v>114.497,95</v>
      </c>
      <c r="P1104" s="4"/>
    </row>
    <row r="1105" spans="2:16" ht="63" x14ac:dyDescent="0.25">
      <c r="B1105" s="2">
        <v>871</v>
      </c>
      <c r="C1105" s="2" t="str">
        <f>"1-15/NOS-70-A/15"</f>
        <v>1-15/NOS-70-A/15</v>
      </c>
      <c r="D1105" s="2" t="s">
        <v>16</v>
      </c>
      <c r="E1105" s="2" t="s">
        <v>1250</v>
      </c>
      <c r="F1105" s="2" t="s">
        <v>1342</v>
      </c>
      <c r="G1105" s="2" t="str">
        <f>"1-15/NOS-70-A/15"</f>
        <v>1-15/NOS-70-A/15</v>
      </c>
      <c r="H1105" s="2" t="str">
        <f t="shared" si="27"/>
        <v>Ugovor - narudžbenica (periodični predmet)</v>
      </c>
      <c r="I1105" s="2" t="s">
        <v>19</v>
      </c>
      <c r="J1105" s="3" t="str">
        <f>"3.882,00"</f>
        <v>3.882,00</v>
      </c>
      <c r="K1105" s="2" t="s">
        <v>464</v>
      </c>
      <c r="L1105" s="2" t="s">
        <v>1081</v>
      </c>
      <c r="M1105" s="2" t="s">
        <v>508</v>
      </c>
      <c r="N1105" s="2" t="str">
        <f>"08.09.2015"</f>
        <v>08.09.2015</v>
      </c>
      <c r="O1105" s="3" t="str">
        <f>"3.882,00"</f>
        <v>3.882,00</v>
      </c>
      <c r="P1105" s="4"/>
    </row>
    <row r="1106" spans="2:16" ht="63" x14ac:dyDescent="0.25">
      <c r="B1106" s="2">
        <v>872</v>
      </c>
      <c r="C1106" s="2" t="str">
        <f>"1-15/NOS-90/15"</f>
        <v>1-15/NOS-90/15</v>
      </c>
      <c r="D1106" s="2" t="s">
        <v>16</v>
      </c>
      <c r="E1106" s="2" t="s">
        <v>1250</v>
      </c>
      <c r="F1106" s="2" t="s">
        <v>177</v>
      </c>
      <c r="G1106" s="2" t="str">
        <f>"1-15/NOS-90/15"</f>
        <v>1-15/NOS-90/15</v>
      </c>
      <c r="H1106" s="2" t="str">
        <f t="shared" si="27"/>
        <v>Ugovor - narudžbenica (periodični predmet)</v>
      </c>
      <c r="I1106" s="2" t="s">
        <v>19</v>
      </c>
      <c r="J1106" s="3" t="str">
        <f>"14.376,00"</f>
        <v>14.376,00</v>
      </c>
      <c r="K1106" s="2" t="s">
        <v>464</v>
      </c>
      <c r="L1106" s="2" t="s">
        <v>1339</v>
      </c>
      <c r="M1106" s="2" t="s">
        <v>44</v>
      </c>
      <c r="N1106" s="2" t="str">
        <f>"14.09.2015"</f>
        <v>14.09.2015</v>
      </c>
      <c r="O1106" s="3" t="str">
        <f>"14.376,00"</f>
        <v>14.376,00</v>
      </c>
      <c r="P1106" s="4"/>
    </row>
    <row r="1107" spans="2:16" ht="63" x14ac:dyDescent="0.25">
      <c r="B1107" s="2">
        <v>873</v>
      </c>
      <c r="C1107" s="2" t="str">
        <f>"10-15/NOS-108/14"</f>
        <v>10-15/NOS-108/14</v>
      </c>
      <c r="D1107" s="2" t="s">
        <v>16</v>
      </c>
      <c r="E1107" s="2" t="s">
        <v>1250</v>
      </c>
      <c r="F1107" s="2" t="s">
        <v>41</v>
      </c>
      <c r="G1107" s="2" t="str">
        <f>"10-15/NOS-108/14"</f>
        <v>10-15/NOS-108/14</v>
      </c>
      <c r="H1107" s="2" t="str">
        <f t="shared" si="27"/>
        <v>Ugovor - narudžbenica (periodični predmet)</v>
      </c>
      <c r="I1107" s="2" t="s">
        <v>19</v>
      </c>
      <c r="J1107" s="3" t="str">
        <f>"25.986,90"</f>
        <v>25.986,90</v>
      </c>
      <c r="K1107" s="2" t="s">
        <v>464</v>
      </c>
      <c r="L1107" s="2" t="s">
        <v>1339</v>
      </c>
      <c r="M1107" s="2" t="s">
        <v>45</v>
      </c>
      <c r="N1107" s="2" t="str">
        <f>"14.09.2015"</f>
        <v>14.09.2015</v>
      </c>
      <c r="O1107" s="3" t="str">
        <f>"13.475,98"</f>
        <v>13.475,98</v>
      </c>
      <c r="P1107" s="4"/>
    </row>
    <row r="1108" spans="2:16" ht="63" x14ac:dyDescent="0.25">
      <c r="B1108" s="2">
        <v>874</v>
      </c>
      <c r="C1108" s="2" t="str">
        <f>"8-15/NOS-121-C/14"</f>
        <v>8-15/NOS-121-C/14</v>
      </c>
      <c r="D1108" s="2" t="s">
        <v>16</v>
      </c>
      <c r="E1108" s="2" t="s">
        <v>1250</v>
      </c>
      <c r="F1108" s="2" t="s">
        <v>1316</v>
      </c>
      <c r="G1108" s="2" t="str">
        <f>"8-15/NOS-121-C/14"</f>
        <v>8-15/NOS-121-C/14</v>
      </c>
      <c r="H1108" s="2" t="str">
        <f t="shared" si="27"/>
        <v>Ugovor - narudžbenica (periodični predmet)</v>
      </c>
      <c r="I1108" s="2" t="s">
        <v>19</v>
      </c>
      <c r="J1108" s="3" t="str">
        <f>"10.857,60"</f>
        <v>10.857,60</v>
      </c>
      <c r="K1108" s="2" t="s">
        <v>1063</v>
      </c>
      <c r="L1108" s="2" t="s">
        <v>1081</v>
      </c>
      <c r="M1108" s="2" t="s">
        <v>599</v>
      </c>
      <c r="N1108" s="2" t="str">
        <f>"08.09.2015"</f>
        <v>08.09.2015</v>
      </c>
      <c r="O1108" s="3" t="str">
        <f>"10.857,60"</f>
        <v>10.857,60</v>
      </c>
      <c r="P1108" s="4"/>
    </row>
    <row r="1109" spans="2:16" ht="63" x14ac:dyDescent="0.25">
      <c r="B1109" s="2">
        <v>875</v>
      </c>
      <c r="C1109" s="2" t="str">
        <f>"8-15/NOS-183/13"</f>
        <v>8-15/NOS-183/13</v>
      </c>
      <c r="D1109" s="2" t="s">
        <v>85</v>
      </c>
      <c r="E1109" s="2" t="s">
        <v>1250</v>
      </c>
      <c r="F1109" s="2" t="s">
        <v>1292</v>
      </c>
      <c r="G1109" s="2" t="str">
        <f>"8-15/NOS-183/13"</f>
        <v>8-15/NOS-183/13</v>
      </c>
      <c r="H1109" s="2" t="str">
        <f t="shared" si="27"/>
        <v>Ugovor - narudžbenica (periodični predmet)</v>
      </c>
      <c r="I1109" s="2" t="s">
        <v>19</v>
      </c>
      <c r="J1109" s="3" t="str">
        <f>"2.350,00"</f>
        <v>2.350,00</v>
      </c>
      <c r="K1109" s="2" t="s">
        <v>1063</v>
      </c>
      <c r="L1109" s="2" t="s">
        <v>1339</v>
      </c>
      <c r="M1109" s="2" t="s">
        <v>1293</v>
      </c>
      <c r="N1109" s="2" t="str">
        <f>"31.08.2015"</f>
        <v>31.08.2015</v>
      </c>
      <c r="O1109" s="3" t="str">
        <f>"2.350,00"</f>
        <v>2.350,00</v>
      </c>
      <c r="P1109" s="4"/>
    </row>
    <row r="1110" spans="2:16" ht="63" x14ac:dyDescent="0.25">
      <c r="B1110" s="2">
        <v>876</v>
      </c>
      <c r="C1110" s="2" t="str">
        <f>"1-15/NOS-35/15"</f>
        <v>1-15/NOS-35/15</v>
      </c>
      <c r="D1110" s="2" t="s">
        <v>16</v>
      </c>
      <c r="E1110" s="2" t="s">
        <v>1250</v>
      </c>
      <c r="F1110" s="2" t="s">
        <v>243</v>
      </c>
      <c r="G1110" s="2" t="str">
        <f>"1-15/NOS-35/15"</f>
        <v>1-15/NOS-35/15</v>
      </c>
      <c r="H1110" s="2" t="str">
        <f t="shared" si="27"/>
        <v>Ugovor - narudžbenica (periodični predmet)</v>
      </c>
      <c r="I1110" s="2" t="s">
        <v>19</v>
      </c>
      <c r="J1110" s="3" t="str">
        <f>"4.561,84"</f>
        <v>4.561,84</v>
      </c>
      <c r="K1110" s="2" t="s">
        <v>1063</v>
      </c>
      <c r="L1110" s="2" t="s">
        <v>1339</v>
      </c>
      <c r="M1110" s="2" t="s">
        <v>246</v>
      </c>
      <c r="N1110" s="2" t="str">
        <f>"14.12.2015"</f>
        <v>14.12.2015</v>
      </c>
      <c r="O1110" s="3" t="str">
        <f>"2.535,84"</f>
        <v>2.535,84</v>
      </c>
      <c r="P1110" s="4"/>
    </row>
    <row r="1111" spans="2:16" ht="63" x14ac:dyDescent="0.25">
      <c r="B1111" s="2">
        <v>877</v>
      </c>
      <c r="C1111" s="2" t="str">
        <f>"31-15/NOS-29/12"</f>
        <v>31-15/NOS-29/12</v>
      </c>
      <c r="D1111" s="2" t="s">
        <v>85</v>
      </c>
      <c r="E1111" s="2" t="s">
        <v>1250</v>
      </c>
      <c r="F1111" s="2" t="s">
        <v>1269</v>
      </c>
      <c r="G1111" s="2" t="str">
        <f>"31-15/NOS-29/12"</f>
        <v>31-15/NOS-29/12</v>
      </c>
      <c r="H1111" s="2" t="str">
        <f t="shared" si="27"/>
        <v>Ugovor - narudžbenica (periodični predmet)</v>
      </c>
      <c r="I1111" s="2" t="s">
        <v>19</v>
      </c>
      <c r="J1111" s="3" t="str">
        <f>"124.538,59"</f>
        <v>124.538,59</v>
      </c>
      <c r="K1111" s="2" t="s">
        <v>1063</v>
      </c>
      <c r="L1111" s="2" t="s">
        <v>448</v>
      </c>
      <c r="M1111" s="2" t="s">
        <v>250</v>
      </c>
      <c r="N1111" s="2" t="str">
        <f>"29.12.2015"</f>
        <v>29.12.2015</v>
      </c>
      <c r="O1111" s="3" t="str">
        <f>"117.282,05"</f>
        <v>117.282,05</v>
      </c>
      <c r="P1111" s="4"/>
    </row>
    <row r="1112" spans="2:16" ht="63" x14ac:dyDescent="0.25">
      <c r="B1112" s="2">
        <v>878</v>
      </c>
      <c r="C1112" s="2" t="str">
        <f>"2-15/NOS-39/15"</f>
        <v>2-15/NOS-39/15</v>
      </c>
      <c r="D1112" s="2" t="s">
        <v>16</v>
      </c>
      <c r="E1112" s="2" t="s">
        <v>1250</v>
      </c>
      <c r="F1112" s="2" t="s">
        <v>300</v>
      </c>
      <c r="G1112" s="2" t="str">
        <f>"2-15/NOS-39/15"</f>
        <v>2-15/NOS-39/15</v>
      </c>
      <c r="H1112" s="2" t="str">
        <f t="shared" si="27"/>
        <v>Ugovor - narudžbenica (periodični predmet)</v>
      </c>
      <c r="I1112" s="2" t="s">
        <v>19</v>
      </c>
      <c r="J1112" s="3" t="str">
        <f>"16.664,60"</f>
        <v>16.664,60</v>
      </c>
      <c r="K1112" s="2" t="s">
        <v>1063</v>
      </c>
      <c r="L1112" s="2" t="s">
        <v>1081</v>
      </c>
      <c r="M1112" s="2" t="s">
        <v>303</v>
      </c>
      <c r="N1112" s="2" t="str">
        <f>"13.10.2015"</f>
        <v>13.10.2015</v>
      </c>
      <c r="O1112" s="3" t="str">
        <f>"16.664,60"</f>
        <v>16.664,60</v>
      </c>
      <c r="P1112" s="4"/>
    </row>
    <row r="1113" spans="2:16" ht="63" x14ac:dyDescent="0.25">
      <c r="B1113" s="2">
        <v>879</v>
      </c>
      <c r="C1113" s="2" t="str">
        <f>"24-15/NOS-89/14"</f>
        <v>24-15/NOS-89/14</v>
      </c>
      <c r="D1113" s="2" t="s">
        <v>28</v>
      </c>
      <c r="E1113" s="2" t="s">
        <v>1250</v>
      </c>
      <c r="F1113" s="2" t="s">
        <v>1277</v>
      </c>
      <c r="G1113" s="2" t="str">
        <f>"24-15/NOS-89/14"</f>
        <v>24-15/NOS-89/14</v>
      </c>
      <c r="H1113" s="2" t="str">
        <f t="shared" si="27"/>
        <v>Ugovor - narudžbenica (periodični predmet)</v>
      </c>
      <c r="I1113" s="2" t="s">
        <v>19</v>
      </c>
      <c r="J1113" s="3" t="str">
        <f>"3.698,10"</f>
        <v>3.698,10</v>
      </c>
      <c r="K1113" s="2" t="s">
        <v>1063</v>
      </c>
      <c r="L1113" s="2" t="s">
        <v>1081</v>
      </c>
      <c r="M1113" s="2" t="s">
        <v>868</v>
      </c>
      <c r="N1113" s="2" t="str">
        <f>"05.10.2015"</f>
        <v>05.10.2015</v>
      </c>
      <c r="O1113" s="3" t="str">
        <f>"3.653,65"</f>
        <v>3.653,65</v>
      </c>
      <c r="P1113" s="4"/>
    </row>
    <row r="1114" spans="2:16" ht="63" x14ac:dyDescent="0.25">
      <c r="B1114" s="2">
        <v>880</v>
      </c>
      <c r="C1114" s="2" t="str">
        <f>"76-15/NOS-103/13"</f>
        <v>76-15/NOS-103/13</v>
      </c>
      <c r="D1114" s="2" t="s">
        <v>16</v>
      </c>
      <c r="E1114" s="2" t="s">
        <v>1250</v>
      </c>
      <c r="F1114" s="2" t="s">
        <v>543</v>
      </c>
      <c r="G1114" s="2" t="str">
        <f>"76-15/NOS-103/13"</f>
        <v>76-15/NOS-103/13</v>
      </c>
      <c r="H1114" s="2" t="str">
        <f t="shared" si="27"/>
        <v>Ugovor - narudžbenica (periodični predmet)</v>
      </c>
      <c r="I1114" s="2" t="s">
        <v>19</v>
      </c>
      <c r="J1114" s="3" t="str">
        <f>"21.879,75"</f>
        <v>21.879,75</v>
      </c>
      <c r="K1114" s="2" t="s">
        <v>1063</v>
      </c>
      <c r="L1114" s="2" t="s">
        <v>1081</v>
      </c>
      <c r="M1114" s="2" t="s">
        <v>75</v>
      </c>
      <c r="N1114" s="2" t="str">
        <f>"29.10.2015"</f>
        <v>29.10.2015</v>
      </c>
      <c r="O1114" s="3" t="str">
        <f>"21.879,75"</f>
        <v>21.879,75</v>
      </c>
      <c r="P1114" s="4"/>
    </row>
    <row r="1115" spans="2:16" ht="63" x14ac:dyDescent="0.25">
      <c r="B1115" s="2">
        <v>881</v>
      </c>
      <c r="C1115" s="2" t="str">
        <f>"36-15/NOS-109/13"</f>
        <v>36-15/NOS-109/13</v>
      </c>
      <c r="D1115" s="2" t="s">
        <v>16</v>
      </c>
      <c r="E1115" s="2" t="s">
        <v>1250</v>
      </c>
      <c r="F1115" s="2" t="s">
        <v>1312</v>
      </c>
      <c r="G1115" s="2" t="str">
        <f>"36-15/NOS-109/13"</f>
        <v>36-15/NOS-109/13</v>
      </c>
      <c r="H1115" s="2" t="str">
        <f t="shared" si="27"/>
        <v>Ugovor - narudžbenica (periodični predmet)</v>
      </c>
      <c r="I1115" s="2" t="s">
        <v>19</v>
      </c>
      <c r="J1115" s="3" t="str">
        <f>"136,95"</f>
        <v>136,95</v>
      </c>
      <c r="K1115" s="2" t="s">
        <v>1066</v>
      </c>
      <c r="L1115" s="2" t="s">
        <v>1081</v>
      </c>
      <c r="M1115" s="2" t="s">
        <v>44</v>
      </c>
      <c r="N1115" s="2" t="str">
        <f>"21.09.2015"</f>
        <v>21.09.2015</v>
      </c>
      <c r="O1115" s="3" t="str">
        <f>"136,95"</f>
        <v>136,95</v>
      </c>
      <c r="P1115" s="4"/>
    </row>
    <row r="1116" spans="2:16" ht="63" x14ac:dyDescent="0.25">
      <c r="B1116" s="2">
        <v>882</v>
      </c>
      <c r="C1116" s="2" t="str">
        <f>"9-15/NOS-112/14"</f>
        <v>9-15/NOS-112/14</v>
      </c>
      <c r="D1116" s="2" t="s">
        <v>16</v>
      </c>
      <c r="E1116" s="2" t="s">
        <v>1250</v>
      </c>
      <c r="F1116" s="2" t="s">
        <v>77</v>
      </c>
      <c r="G1116" s="2" t="str">
        <f>"9-15/NOS-112/14"</f>
        <v>9-15/NOS-112/14</v>
      </c>
      <c r="H1116" s="2" t="str">
        <f t="shared" si="27"/>
        <v>Ugovor - narudžbenica (periodični predmet)</v>
      </c>
      <c r="I1116" s="2" t="s">
        <v>19</v>
      </c>
      <c r="J1116" s="3" t="str">
        <f>"7.800,00"</f>
        <v>7.800,00</v>
      </c>
      <c r="K1116" s="2" t="s">
        <v>1066</v>
      </c>
      <c r="L1116" s="2" t="s">
        <v>1081</v>
      </c>
      <c r="M1116" s="2" t="s">
        <v>80</v>
      </c>
      <c r="N1116" s="2" t="str">
        <f>"13.10.2015"</f>
        <v>13.10.2015</v>
      </c>
      <c r="O1116" s="3" t="str">
        <f>"7.800,00"</f>
        <v>7.800,00</v>
      </c>
      <c r="P1116" s="4"/>
    </row>
    <row r="1117" spans="2:16" ht="63" x14ac:dyDescent="0.25">
      <c r="B1117" s="2">
        <v>883</v>
      </c>
      <c r="C1117" s="2" t="str">
        <f>"11-15/NOS-56/14"</f>
        <v>11-15/NOS-56/14</v>
      </c>
      <c r="D1117" s="2" t="s">
        <v>16</v>
      </c>
      <c r="E1117" s="2" t="s">
        <v>1250</v>
      </c>
      <c r="F1117" s="2" t="s">
        <v>1286</v>
      </c>
      <c r="G1117" s="2" t="str">
        <f>"11-15/NOS-56/14"</f>
        <v>11-15/NOS-56/14</v>
      </c>
      <c r="H1117" s="2" t="str">
        <f t="shared" si="27"/>
        <v>Ugovor - narudžbenica (periodični predmet)</v>
      </c>
      <c r="I1117" s="2" t="s">
        <v>19</v>
      </c>
      <c r="J1117" s="3" t="str">
        <f>"33.450,00"</f>
        <v>33.450,00</v>
      </c>
      <c r="K1117" s="2" t="s">
        <v>1066</v>
      </c>
      <c r="L1117" s="2" t="s">
        <v>1081</v>
      </c>
      <c r="M1117" s="2" t="s">
        <v>715</v>
      </c>
      <c r="N1117" s="2" t="str">
        <f>"08.09.2015"</f>
        <v>08.09.2015</v>
      </c>
      <c r="O1117" s="3" t="str">
        <f>"33.450,00"</f>
        <v>33.450,00</v>
      </c>
      <c r="P1117" s="4"/>
    </row>
    <row r="1118" spans="2:16" ht="63" x14ac:dyDescent="0.25">
      <c r="B1118" s="2">
        <v>884</v>
      </c>
      <c r="C1118" s="2" t="str">
        <f>"25-15/NOS-137/13"</f>
        <v>25-15/NOS-137/13</v>
      </c>
      <c r="D1118" s="2" t="s">
        <v>16</v>
      </c>
      <c r="E1118" s="2" t="s">
        <v>1250</v>
      </c>
      <c r="F1118" s="2" t="s">
        <v>1330</v>
      </c>
      <c r="G1118" s="2" t="str">
        <f>"25-15/NOS-137/13"</f>
        <v>25-15/NOS-137/13</v>
      </c>
      <c r="H1118" s="2" t="str">
        <f t="shared" si="27"/>
        <v>Ugovor - narudžbenica (periodični predmet)</v>
      </c>
      <c r="I1118" s="2" t="s">
        <v>19</v>
      </c>
      <c r="J1118" s="3" t="str">
        <f>"8.190,00"</f>
        <v>8.190,00</v>
      </c>
      <c r="K1118" s="2" t="s">
        <v>1066</v>
      </c>
      <c r="L1118" s="2" t="s">
        <v>1081</v>
      </c>
      <c r="M1118" s="2" t="s">
        <v>508</v>
      </c>
      <c r="N1118" s="2" t="str">
        <f>"25.09.2015"</f>
        <v>25.09.2015</v>
      </c>
      <c r="O1118" s="3" t="str">
        <f>"8.190,00"</f>
        <v>8.190,00</v>
      </c>
      <c r="P1118" s="4"/>
    </row>
    <row r="1119" spans="2:16" ht="63" x14ac:dyDescent="0.25">
      <c r="B1119" s="2">
        <v>885</v>
      </c>
      <c r="C1119" s="2" t="str">
        <f>"40-15/NOS-53-ZGH/14"</f>
        <v>40-15/NOS-53-ZGH/14</v>
      </c>
      <c r="D1119" s="2" t="s">
        <v>28</v>
      </c>
      <c r="E1119" s="2" t="s">
        <v>1250</v>
      </c>
      <c r="F1119" s="2" t="s">
        <v>1272</v>
      </c>
      <c r="G1119" s="2" t="str">
        <f>"40-15/NOS-53-ZGH/14"</f>
        <v>40-15/NOS-53-ZGH/14</v>
      </c>
      <c r="H1119" s="2" t="str">
        <f t="shared" si="27"/>
        <v>Ugovor - narudžbenica (periodični predmet)</v>
      </c>
      <c r="I1119" s="2" t="s">
        <v>19</v>
      </c>
      <c r="J1119" s="3" t="str">
        <f>"10.161,80"</f>
        <v>10.161,80</v>
      </c>
      <c r="K1119" s="2" t="s">
        <v>1066</v>
      </c>
      <c r="L1119" s="2" t="s">
        <v>1081</v>
      </c>
      <c r="M1119" s="2" t="s">
        <v>1097</v>
      </c>
      <c r="N1119" s="2" t="str">
        <f>"29.10.2015"</f>
        <v>29.10.2015</v>
      </c>
      <c r="O1119" s="3" t="str">
        <f>"10.121,00"</f>
        <v>10.121,00</v>
      </c>
      <c r="P1119" s="4"/>
    </row>
    <row r="1120" spans="2:16" s="15" customFormat="1" ht="63" x14ac:dyDescent="0.25">
      <c r="B1120" s="12">
        <v>886</v>
      </c>
      <c r="C1120" s="12" t="str">
        <f>"3-15/NOS-214/13"</f>
        <v>3-15/NOS-214/13</v>
      </c>
      <c r="D1120" s="12" t="s">
        <v>85</v>
      </c>
      <c r="E1120" s="12" t="s">
        <v>1250</v>
      </c>
      <c r="F1120" s="12" t="s">
        <v>1326</v>
      </c>
      <c r="G1120" s="12" t="str">
        <f>"3-15/NOS-214/13"</f>
        <v>3-15/NOS-214/13</v>
      </c>
      <c r="H1120" s="12" t="str">
        <f t="shared" si="27"/>
        <v>Ugovor - narudžbenica (periodični predmet)</v>
      </c>
      <c r="I1120" s="12" t="s">
        <v>19</v>
      </c>
      <c r="J1120" s="13" t="str">
        <f>"1.768,00"</f>
        <v>1.768,00</v>
      </c>
      <c r="K1120" s="12" t="s">
        <v>1343</v>
      </c>
      <c r="L1120" s="12" t="s">
        <v>1081</v>
      </c>
      <c r="M1120" s="12" t="s">
        <v>1344</v>
      </c>
      <c r="N1120" s="12" t="s">
        <v>23</v>
      </c>
      <c r="O1120" s="13" t="str">
        <f>"0,00"</f>
        <v>0,00</v>
      </c>
      <c r="P1120" s="14"/>
    </row>
    <row r="1121" spans="2:16" ht="63" x14ac:dyDescent="0.25">
      <c r="B1121" s="2">
        <v>887</v>
      </c>
      <c r="C1121" s="2" t="str">
        <f>"2-15/NOS-54/15"</f>
        <v>2-15/NOS-54/15</v>
      </c>
      <c r="D1121" s="2" t="s">
        <v>16</v>
      </c>
      <c r="E1121" s="2" t="s">
        <v>1250</v>
      </c>
      <c r="F1121" s="2" t="s">
        <v>255</v>
      </c>
      <c r="G1121" s="2" t="str">
        <f>"2-15/NOS-54/15"</f>
        <v>2-15/NOS-54/15</v>
      </c>
      <c r="H1121" s="2" t="str">
        <f t="shared" si="27"/>
        <v>Ugovor - narudžbenica (periodični predmet)</v>
      </c>
      <c r="I1121" s="2" t="s">
        <v>19</v>
      </c>
      <c r="J1121" s="3" t="str">
        <f>"40.920,00"</f>
        <v>40.920,00</v>
      </c>
      <c r="K1121" s="2" t="s">
        <v>1343</v>
      </c>
      <c r="L1121" s="2" t="s">
        <v>1341</v>
      </c>
      <c r="M1121" s="2" t="s">
        <v>84</v>
      </c>
      <c r="N1121" s="2" t="str">
        <f>"02.11.2015"</f>
        <v>02.11.2015</v>
      </c>
      <c r="O1121" s="3" t="str">
        <f>"19.040,00"</f>
        <v>19.040,00</v>
      </c>
      <c r="P1121" s="2"/>
    </row>
    <row r="1122" spans="2:16" ht="63" x14ac:dyDescent="0.25">
      <c r="B1122" s="2">
        <v>888</v>
      </c>
      <c r="C1122" s="2" t="str">
        <f>"1-15/NOS-60/15"</f>
        <v>1-15/NOS-60/15</v>
      </c>
      <c r="D1122" s="2" t="s">
        <v>16</v>
      </c>
      <c r="E1122" s="2" t="s">
        <v>1250</v>
      </c>
      <c r="F1122" s="2" t="s">
        <v>157</v>
      </c>
      <c r="G1122" s="2" t="str">
        <f>"1-15/NOS-60/15"</f>
        <v>1-15/NOS-60/15</v>
      </c>
      <c r="H1122" s="2" t="str">
        <f t="shared" si="27"/>
        <v>Ugovor - narudžbenica (periodični predmet)</v>
      </c>
      <c r="I1122" s="2" t="s">
        <v>19</v>
      </c>
      <c r="J1122" s="3" t="str">
        <f>"4.123,00"</f>
        <v>4.123,00</v>
      </c>
      <c r="K1122" s="2" t="s">
        <v>1343</v>
      </c>
      <c r="L1122" s="2" t="s">
        <v>1081</v>
      </c>
      <c r="M1122" s="2" t="s">
        <v>160</v>
      </c>
      <c r="N1122" s="2" t="str">
        <f>"16.10.2015"</f>
        <v>16.10.2015</v>
      </c>
      <c r="O1122" s="3" t="str">
        <f>"4.123,00"</f>
        <v>4.123,00</v>
      </c>
      <c r="P1122" s="4"/>
    </row>
    <row r="1123" spans="2:16" ht="63" x14ac:dyDescent="0.25">
      <c r="B1123" s="2">
        <v>889</v>
      </c>
      <c r="C1123" s="2" t="str">
        <f>"7-15/NOS-29/15"</f>
        <v>7-15/NOS-29/15</v>
      </c>
      <c r="D1123" s="2" t="s">
        <v>16</v>
      </c>
      <c r="E1123" s="2" t="s">
        <v>1250</v>
      </c>
      <c r="F1123" s="2" t="s">
        <v>330</v>
      </c>
      <c r="G1123" s="2" t="str">
        <f>"7-15/NOS-29/15"</f>
        <v>7-15/NOS-29/15</v>
      </c>
      <c r="H1123" s="2" t="str">
        <f t="shared" si="27"/>
        <v>Ugovor - narudžbenica (periodični predmet)</v>
      </c>
      <c r="I1123" s="2" t="s">
        <v>19</v>
      </c>
      <c r="J1123" s="3" t="str">
        <f>"125.620,00"</f>
        <v>125.620,00</v>
      </c>
      <c r="K1123" s="2" t="s">
        <v>1343</v>
      </c>
      <c r="L1123" s="2" t="s">
        <v>1081</v>
      </c>
      <c r="M1123" s="2" t="s">
        <v>331</v>
      </c>
      <c r="N1123" s="2" t="str">
        <f>"03.12.2015"</f>
        <v>03.12.2015</v>
      </c>
      <c r="O1123" s="3" t="str">
        <f>"125.620,00"</f>
        <v>125.620,00</v>
      </c>
      <c r="P1123" s="4"/>
    </row>
    <row r="1124" spans="2:16" ht="63" x14ac:dyDescent="0.25">
      <c r="B1124" s="2">
        <v>890</v>
      </c>
      <c r="C1124" s="2" t="str">
        <f>"3-15/NOS-75-A/15"</f>
        <v>3-15/NOS-75-A/15</v>
      </c>
      <c r="D1124" s="2" t="s">
        <v>16</v>
      </c>
      <c r="E1124" s="2" t="s">
        <v>1250</v>
      </c>
      <c r="F1124" s="2" t="s">
        <v>1337</v>
      </c>
      <c r="G1124" s="2" t="str">
        <f>"3-15/NOS-75-A/15"</f>
        <v>3-15/NOS-75-A/15</v>
      </c>
      <c r="H1124" s="2" t="str">
        <f t="shared" si="27"/>
        <v>Ugovor - narudžbenica (periodični predmet)</v>
      </c>
      <c r="I1124" s="2" t="s">
        <v>19</v>
      </c>
      <c r="J1124" s="3" t="str">
        <f>"175.650,00"</f>
        <v>175.650,00</v>
      </c>
      <c r="K1124" s="2" t="s">
        <v>1345</v>
      </c>
      <c r="L1124" s="2" t="s">
        <v>1081</v>
      </c>
      <c r="M1124" s="2" t="s">
        <v>218</v>
      </c>
      <c r="N1124" s="2" t="str">
        <f>"09.11.2015"</f>
        <v>09.11.2015</v>
      </c>
      <c r="O1124" s="3" t="str">
        <f>"175.650,00"</f>
        <v>175.650,00</v>
      </c>
      <c r="P1124" s="4"/>
    </row>
    <row r="1125" spans="2:16" ht="63" x14ac:dyDescent="0.25">
      <c r="B1125" s="2">
        <v>891</v>
      </c>
      <c r="C1125" s="2" t="str">
        <f>"17-15/NOS-83/14"</f>
        <v>17-15/NOS-83/14</v>
      </c>
      <c r="D1125" s="2" t="s">
        <v>16</v>
      </c>
      <c r="E1125" s="2" t="s">
        <v>1250</v>
      </c>
      <c r="F1125" s="2" t="s">
        <v>1273</v>
      </c>
      <c r="G1125" s="2" t="str">
        <f>"17-15/NOS-83/14"</f>
        <v>17-15/NOS-83/14</v>
      </c>
      <c r="H1125" s="2" t="str">
        <f t="shared" si="27"/>
        <v>Ugovor - narudžbenica (periodični predmet)</v>
      </c>
      <c r="I1125" s="2" t="s">
        <v>19</v>
      </c>
      <c r="J1125" s="3" t="str">
        <f>"4.722,00"</f>
        <v>4.722,00</v>
      </c>
      <c r="K1125" s="2" t="s">
        <v>386</v>
      </c>
      <c r="L1125" s="2" t="s">
        <v>1081</v>
      </c>
      <c r="M1125" s="2" t="s">
        <v>941</v>
      </c>
      <c r="N1125" s="2" t="str">
        <f>"23.11.2015"</f>
        <v>23.11.2015</v>
      </c>
      <c r="O1125" s="3" t="str">
        <f>"4.722,00"</f>
        <v>4.722,00</v>
      </c>
      <c r="P1125" s="4"/>
    </row>
    <row r="1126" spans="2:16" ht="63" x14ac:dyDescent="0.25">
      <c r="B1126" s="2">
        <v>892</v>
      </c>
      <c r="C1126" s="2" t="str">
        <f>"20-15/NOS-24-ZGH/14"</f>
        <v>20-15/NOS-24-ZGH/14</v>
      </c>
      <c r="D1126" s="2" t="s">
        <v>242</v>
      </c>
      <c r="E1126" s="2" t="s">
        <v>1250</v>
      </c>
      <c r="F1126" s="2" t="s">
        <v>1276</v>
      </c>
      <c r="G1126" s="2" t="str">
        <f>"20-15/NOS-24-ZGH/14"</f>
        <v>20-15/NOS-24-ZGH/14</v>
      </c>
      <c r="H1126" s="2" t="str">
        <f t="shared" si="27"/>
        <v>Ugovor - narudžbenica (periodični predmet)</v>
      </c>
      <c r="I1126" s="2" t="s">
        <v>19</v>
      </c>
      <c r="J1126" s="3" t="str">
        <f>"65.956,50"</f>
        <v>65.956,50</v>
      </c>
      <c r="K1126" s="2" t="s">
        <v>386</v>
      </c>
      <c r="L1126" s="2" t="s">
        <v>1081</v>
      </c>
      <c r="M1126" s="2" t="s">
        <v>1307</v>
      </c>
      <c r="N1126" s="2" t="str">
        <f>"21.12.2015"</f>
        <v>21.12.2015</v>
      </c>
      <c r="O1126" s="3" t="str">
        <f>"38.465,80"</f>
        <v>38.465,80</v>
      </c>
      <c r="P1126" s="2"/>
    </row>
    <row r="1127" spans="2:16" ht="63" x14ac:dyDescent="0.25">
      <c r="B1127" s="2">
        <v>893</v>
      </c>
      <c r="C1127" s="2" t="str">
        <f>"18-15/NOS-117/13"</f>
        <v>18-15/NOS-117/13</v>
      </c>
      <c r="D1127" s="2" t="s">
        <v>28</v>
      </c>
      <c r="E1127" s="2" t="s">
        <v>1250</v>
      </c>
      <c r="F1127" s="2" t="s">
        <v>1265</v>
      </c>
      <c r="G1127" s="2" t="str">
        <f>"18-15/NOS-117/13"</f>
        <v>18-15/NOS-117/13</v>
      </c>
      <c r="H1127" s="2" t="str">
        <f t="shared" si="27"/>
        <v>Ugovor - narudžbenica (periodični predmet)</v>
      </c>
      <c r="I1127" s="2" t="s">
        <v>19</v>
      </c>
      <c r="J1127" s="3" t="str">
        <f>"1.417,00"</f>
        <v>1.417,00</v>
      </c>
      <c r="K1127" s="2" t="s">
        <v>386</v>
      </c>
      <c r="L1127" s="2" t="s">
        <v>1081</v>
      </c>
      <c r="M1127" s="2" t="s">
        <v>508</v>
      </c>
      <c r="N1127" s="2" t="str">
        <f>"14.09.2015"</f>
        <v>14.09.2015</v>
      </c>
      <c r="O1127" s="3" t="str">
        <f>"1.417,00"</f>
        <v>1.417,00</v>
      </c>
      <c r="P1127" s="4"/>
    </row>
    <row r="1128" spans="2:16" ht="63" x14ac:dyDescent="0.25">
      <c r="B1128" s="2">
        <v>894</v>
      </c>
      <c r="C1128" s="2" t="str">
        <f>"4-15/NOS-210-D/13"</f>
        <v>4-15/NOS-210-D/13</v>
      </c>
      <c r="D1128" s="2" t="s">
        <v>85</v>
      </c>
      <c r="E1128" s="2" t="s">
        <v>1250</v>
      </c>
      <c r="F1128" s="2" t="s">
        <v>1294</v>
      </c>
      <c r="G1128" s="2" t="str">
        <f>"4-15/NOS-210-D/13"</f>
        <v>4-15/NOS-210-D/13</v>
      </c>
      <c r="H1128" s="2" t="str">
        <f t="shared" si="27"/>
        <v>Ugovor - narudžbenica (periodični predmet)</v>
      </c>
      <c r="I1128" s="2" t="s">
        <v>19</v>
      </c>
      <c r="J1128" s="3" t="str">
        <f>"14.390,00"</f>
        <v>14.390,00</v>
      </c>
      <c r="K1128" s="2" t="s">
        <v>386</v>
      </c>
      <c r="L1128" s="2" t="s">
        <v>1081</v>
      </c>
      <c r="M1128" s="2" t="s">
        <v>1293</v>
      </c>
      <c r="N1128" s="2" t="str">
        <f>"16.11.2015"</f>
        <v>16.11.2015</v>
      </c>
      <c r="O1128" s="3" t="str">
        <f>"14.390,00"</f>
        <v>14.390,00</v>
      </c>
      <c r="P1128" s="4"/>
    </row>
    <row r="1129" spans="2:16" s="19" customFormat="1" ht="63" x14ac:dyDescent="0.25">
      <c r="B1129" s="16">
        <v>895</v>
      </c>
      <c r="C1129" s="16" t="str">
        <f>"4-15/NOS-19/15"</f>
        <v>4-15/NOS-19/15</v>
      </c>
      <c r="D1129" s="16" t="s">
        <v>85</v>
      </c>
      <c r="E1129" s="16" t="s">
        <v>1250</v>
      </c>
      <c r="F1129" s="16" t="s">
        <v>277</v>
      </c>
      <c r="G1129" s="16" t="str">
        <f>"4-15/NOS-19/15"</f>
        <v>4-15/NOS-19/15</v>
      </c>
      <c r="H1129" s="16" t="str">
        <f t="shared" si="27"/>
        <v>Ugovor - narudžbenica (periodični predmet)</v>
      </c>
      <c r="I1129" s="16" t="s">
        <v>19</v>
      </c>
      <c r="J1129" s="17" t="str">
        <f>"5.520,00"</f>
        <v>5.520,00</v>
      </c>
      <c r="K1129" s="16" t="s">
        <v>1346</v>
      </c>
      <c r="L1129" s="16" t="s">
        <v>1341</v>
      </c>
      <c r="M1129" s="16" t="s">
        <v>44</v>
      </c>
      <c r="N1129" s="16" t="str">
        <f>"30.09.2015"</f>
        <v>30.09.2015</v>
      </c>
      <c r="O1129" s="17" t="str">
        <f>"5.567,91"</f>
        <v>5.567,91</v>
      </c>
      <c r="P1129" s="16" t="s">
        <v>1347</v>
      </c>
    </row>
    <row r="1130" spans="2:16" ht="63" x14ac:dyDescent="0.25">
      <c r="B1130" s="2">
        <v>896</v>
      </c>
      <c r="C1130" s="2" t="str">
        <f>"1-15/NOS-67/15"</f>
        <v>1-15/NOS-67/15</v>
      </c>
      <c r="D1130" s="2" t="s">
        <v>16</v>
      </c>
      <c r="E1130" s="2" t="s">
        <v>1250</v>
      </c>
      <c r="F1130" s="2" t="s">
        <v>511</v>
      </c>
      <c r="G1130" s="2" t="str">
        <f>"1-15/NOS-67/15"</f>
        <v>1-15/NOS-67/15</v>
      </c>
      <c r="H1130" s="2" t="str">
        <f t="shared" si="27"/>
        <v>Ugovor - narudžbenica (periodični predmet)</v>
      </c>
      <c r="I1130" s="2" t="s">
        <v>19</v>
      </c>
      <c r="J1130" s="3" t="str">
        <f>"12.786,15"</f>
        <v>12.786,15</v>
      </c>
      <c r="K1130" s="2" t="s">
        <v>1346</v>
      </c>
      <c r="L1130" s="2" t="s">
        <v>1081</v>
      </c>
      <c r="M1130" s="2" t="s">
        <v>512</v>
      </c>
      <c r="N1130" s="2" t="str">
        <f>"20.10.2015"</f>
        <v>20.10.2015</v>
      </c>
      <c r="O1130" s="3" t="str">
        <f>"12.786,15"</f>
        <v>12.786,15</v>
      </c>
      <c r="P1130" s="4"/>
    </row>
    <row r="1131" spans="2:16" ht="63" x14ac:dyDescent="0.25">
      <c r="B1131" s="2">
        <v>897</v>
      </c>
      <c r="C1131" s="2" t="str">
        <f>"1-15/NOS-69/15"</f>
        <v>1-15/NOS-69/15</v>
      </c>
      <c r="D1131" s="2" t="s">
        <v>16</v>
      </c>
      <c r="E1131" s="2" t="s">
        <v>1250</v>
      </c>
      <c r="F1131" s="2" t="s">
        <v>268</v>
      </c>
      <c r="G1131" s="2" t="str">
        <f>"1-15/NOS-69/15"</f>
        <v>1-15/NOS-69/15</v>
      </c>
      <c r="H1131" s="2" t="str">
        <f t="shared" si="27"/>
        <v>Ugovor - narudžbenica (periodični predmet)</v>
      </c>
      <c r="I1131" s="2" t="s">
        <v>19</v>
      </c>
      <c r="J1131" s="3" t="str">
        <f>"2.250,00"</f>
        <v>2.250,00</v>
      </c>
      <c r="K1131" s="2" t="s">
        <v>1346</v>
      </c>
      <c r="L1131" s="2" t="s">
        <v>1081</v>
      </c>
      <c r="M1131" s="2" t="s">
        <v>269</v>
      </c>
      <c r="N1131" s="2" t="str">
        <f>"16.09.2015"</f>
        <v>16.09.2015</v>
      </c>
      <c r="O1131" s="3" t="str">
        <f>"2.250,00"</f>
        <v>2.250,00</v>
      </c>
      <c r="P1131" s="4"/>
    </row>
    <row r="1132" spans="2:16" s="15" customFormat="1" ht="63" x14ac:dyDescent="0.25">
      <c r="B1132" s="12">
        <v>898</v>
      </c>
      <c r="C1132" s="12" t="str">
        <f>"6-15/NOS-40/14"</f>
        <v>6-15/NOS-40/14</v>
      </c>
      <c r="D1132" s="12" t="s">
        <v>16</v>
      </c>
      <c r="E1132" s="12" t="s">
        <v>1250</v>
      </c>
      <c r="F1132" s="12" t="s">
        <v>1210</v>
      </c>
      <c r="G1132" s="12" t="str">
        <f>"6-15/NOS-40/14"</f>
        <v>6-15/NOS-40/14</v>
      </c>
      <c r="H1132" s="12" t="str">
        <f t="shared" si="27"/>
        <v>Ugovor - narudžbenica (periodični predmet)</v>
      </c>
      <c r="I1132" s="12" t="s">
        <v>19</v>
      </c>
      <c r="J1132" s="13" t="str">
        <f>"13.192,45"</f>
        <v>13.192,45</v>
      </c>
      <c r="K1132" s="12" t="s">
        <v>1346</v>
      </c>
      <c r="L1132" s="12" t="s">
        <v>1081</v>
      </c>
      <c r="M1132" s="12" t="s">
        <v>805</v>
      </c>
      <c r="N1132" s="12" t="s">
        <v>23</v>
      </c>
      <c r="O1132" s="13" t="str">
        <f>"0,00"</f>
        <v>0,00</v>
      </c>
      <c r="P1132" s="14"/>
    </row>
    <row r="1133" spans="2:16" ht="63" x14ac:dyDescent="0.25">
      <c r="B1133" s="2">
        <v>899</v>
      </c>
      <c r="C1133" s="2" t="str">
        <f>"3-15/NOS-90/15"</f>
        <v>3-15/NOS-90/15</v>
      </c>
      <c r="D1133" s="2" t="s">
        <v>28</v>
      </c>
      <c r="E1133" s="2" t="s">
        <v>1250</v>
      </c>
      <c r="F1133" s="2" t="s">
        <v>177</v>
      </c>
      <c r="G1133" s="2" t="str">
        <f>"3-15/NOS-90/15"</f>
        <v>3-15/NOS-90/15</v>
      </c>
      <c r="H1133" s="2" t="str">
        <f t="shared" ref="H1133:H1155" si="28">"Ugovor - narudžbenica (periodični predmet)"</f>
        <v>Ugovor - narudžbenica (periodični predmet)</v>
      </c>
      <c r="I1133" s="2" t="s">
        <v>19</v>
      </c>
      <c r="J1133" s="3" t="str">
        <f>"19.350,00"</f>
        <v>19.350,00</v>
      </c>
      <c r="K1133" s="2" t="s">
        <v>1346</v>
      </c>
      <c r="L1133" s="2" t="s">
        <v>1341</v>
      </c>
      <c r="M1133" s="2" t="s">
        <v>89</v>
      </c>
      <c r="N1133" s="2" t="str">
        <f>"23.10.2015"</f>
        <v>23.10.2015</v>
      </c>
      <c r="O1133" s="3" t="str">
        <f>"19.350,00"</f>
        <v>19.350,00</v>
      </c>
      <c r="P1133" s="4"/>
    </row>
    <row r="1134" spans="2:16" ht="63" x14ac:dyDescent="0.25">
      <c r="B1134" s="2">
        <v>900</v>
      </c>
      <c r="C1134" s="2" t="str">
        <f>"1-15/NOS-100-C/15"</f>
        <v>1-15/NOS-100-C/15</v>
      </c>
      <c r="D1134" s="2" t="s">
        <v>16</v>
      </c>
      <c r="E1134" s="2" t="s">
        <v>1250</v>
      </c>
      <c r="F1134" s="2" t="s">
        <v>1255</v>
      </c>
      <c r="G1134" s="2" t="str">
        <f>"1-15/NOS-100-C/15"</f>
        <v>1-15/NOS-100-C/15</v>
      </c>
      <c r="H1134" s="2" t="str">
        <f t="shared" si="28"/>
        <v>Ugovor - narudžbenica (periodični predmet)</v>
      </c>
      <c r="I1134" s="2" t="s">
        <v>19</v>
      </c>
      <c r="J1134" s="3" t="str">
        <f>"12.706,00"</f>
        <v>12.706,00</v>
      </c>
      <c r="K1134" s="2" t="s">
        <v>1346</v>
      </c>
      <c r="L1134" s="2" t="s">
        <v>1341</v>
      </c>
      <c r="M1134" s="2" t="s">
        <v>44</v>
      </c>
      <c r="N1134" s="2" t="str">
        <f>"02.10.2015"</f>
        <v>02.10.2015</v>
      </c>
      <c r="O1134" s="3" t="str">
        <f>"12.706,00"</f>
        <v>12.706,00</v>
      </c>
      <c r="P1134" s="4"/>
    </row>
    <row r="1135" spans="2:16" ht="63" x14ac:dyDescent="0.25">
      <c r="B1135" s="2">
        <v>901</v>
      </c>
      <c r="C1135" s="2" t="str">
        <f>"77-15/NOS-103/13"</f>
        <v>77-15/NOS-103/13</v>
      </c>
      <c r="D1135" s="2" t="s">
        <v>28</v>
      </c>
      <c r="E1135" s="2" t="s">
        <v>1250</v>
      </c>
      <c r="F1135" s="2" t="s">
        <v>543</v>
      </c>
      <c r="G1135" s="2" t="str">
        <f>"77-15/NOS-103/13"</f>
        <v>77-15/NOS-103/13</v>
      </c>
      <c r="H1135" s="2" t="str">
        <f t="shared" si="28"/>
        <v>Ugovor - narudžbenica (periodični predmet)</v>
      </c>
      <c r="I1135" s="2" t="s">
        <v>19</v>
      </c>
      <c r="J1135" s="3" t="str">
        <f>"5.998,30"</f>
        <v>5.998,30</v>
      </c>
      <c r="K1135" s="2" t="s">
        <v>1346</v>
      </c>
      <c r="L1135" s="2" t="s">
        <v>1341</v>
      </c>
      <c r="M1135" s="2" t="s">
        <v>544</v>
      </c>
      <c r="N1135" s="2" t="str">
        <f>"30.09.2015"</f>
        <v>30.09.2015</v>
      </c>
      <c r="O1135" s="3" t="str">
        <f>"5.998,30"</f>
        <v>5.998,30</v>
      </c>
      <c r="P1135" s="4"/>
    </row>
    <row r="1136" spans="2:16" ht="63" x14ac:dyDescent="0.25">
      <c r="B1136" s="2">
        <v>902</v>
      </c>
      <c r="C1136" s="2" t="str">
        <f>"58-15/NOS-136/13"</f>
        <v>58-15/NOS-136/13</v>
      </c>
      <c r="D1136" s="2" t="s">
        <v>28</v>
      </c>
      <c r="E1136" s="2" t="s">
        <v>1250</v>
      </c>
      <c r="F1136" s="2" t="s">
        <v>536</v>
      </c>
      <c r="G1136" s="2" t="str">
        <f>"58-15/NOS-136/13"</f>
        <v>58-15/NOS-136/13</v>
      </c>
      <c r="H1136" s="2" t="str">
        <f t="shared" si="28"/>
        <v>Ugovor - narudžbenica (periodični predmet)</v>
      </c>
      <c r="I1136" s="2" t="s">
        <v>19</v>
      </c>
      <c r="J1136" s="3" t="str">
        <f>"4.085,50"</f>
        <v>4.085,50</v>
      </c>
      <c r="K1136" s="2" t="s">
        <v>1346</v>
      </c>
      <c r="L1136" s="2" t="s">
        <v>1341</v>
      </c>
      <c r="M1136" s="2" t="s">
        <v>84</v>
      </c>
      <c r="N1136" s="2" t="str">
        <f>"15.12.2015"</f>
        <v>15.12.2015</v>
      </c>
      <c r="O1136" s="3" t="str">
        <f>"4.085,50"</f>
        <v>4.085,50</v>
      </c>
      <c r="P1136" s="4"/>
    </row>
    <row r="1137" spans="2:16" ht="63" x14ac:dyDescent="0.25">
      <c r="B1137" s="2">
        <v>903</v>
      </c>
      <c r="C1137" s="2" t="str">
        <f>"9-15/NOS-210-A/13"</f>
        <v>9-15/NOS-210-A/13</v>
      </c>
      <c r="D1137" s="2" t="s">
        <v>85</v>
      </c>
      <c r="E1137" s="2" t="s">
        <v>1250</v>
      </c>
      <c r="F1137" s="2" t="s">
        <v>1294</v>
      </c>
      <c r="G1137" s="2" t="str">
        <f>"9-15/NOS-210-A/13"</f>
        <v>9-15/NOS-210-A/13</v>
      </c>
      <c r="H1137" s="2" t="str">
        <f t="shared" si="28"/>
        <v>Ugovor - narudžbenica (periodični predmet)</v>
      </c>
      <c r="I1137" s="2" t="s">
        <v>19</v>
      </c>
      <c r="J1137" s="3" t="str">
        <f>"82.155,00"</f>
        <v>82.155,00</v>
      </c>
      <c r="K1137" s="2" t="s">
        <v>1346</v>
      </c>
      <c r="L1137" s="2" t="s">
        <v>1341</v>
      </c>
      <c r="M1137" s="2" t="s">
        <v>89</v>
      </c>
      <c r="N1137" s="2" t="str">
        <f>"16.11.2015"</f>
        <v>16.11.2015</v>
      </c>
      <c r="O1137" s="3" t="str">
        <f>"82.155,00"</f>
        <v>82.155,00</v>
      </c>
      <c r="P1137" s="4"/>
    </row>
    <row r="1138" spans="2:16" ht="63" x14ac:dyDescent="0.25">
      <c r="B1138" s="2">
        <v>904</v>
      </c>
      <c r="C1138" s="2" t="str">
        <f>"3-15/NOS-94/14"</f>
        <v>3-15/NOS-94/14</v>
      </c>
      <c r="D1138" s="2" t="s">
        <v>16</v>
      </c>
      <c r="E1138" s="2" t="s">
        <v>1250</v>
      </c>
      <c r="F1138" s="2" t="s">
        <v>1348</v>
      </c>
      <c r="G1138" s="2" t="str">
        <f>"3-15/NOS-94/14"</f>
        <v>3-15/NOS-94/14</v>
      </c>
      <c r="H1138" s="2" t="str">
        <f t="shared" si="28"/>
        <v>Ugovor - narudžbenica (periodični predmet)</v>
      </c>
      <c r="I1138" s="2" t="s">
        <v>19</v>
      </c>
      <c r="J1138" s="3" t="str">
        <f>"318,00"</f>
        <v>318,00</v>
      </c>
      <c r="K1138" s="2" t="s">
        <v>1346</v>
      </c>
      <c r="L1138" s="2" t="s">
        <v>1341</v>
      </c>
      <c r="M1138" s="2" t="s">
        <v>146</v>
      </c>
      <c r="N1138" s="2" t="str">
        <f>"14.09.2015"</f>
        <v>14.09.2015</v>
      </c>
      <c r="O1138" s="3" t="str">
        <f>"318,00"</f>
        <v>318,00</v>
      </c>
      <c r="P1138" s="4"/>
    </row>
    <row r="1139" spans="2:16" ht="63" x14ac:dyDescent="0.25">
      <c r="B1139" s="2">
        <v>905</v>
      </c>
      <c r="C1139" s="2" t="str">
        <f>"52-15/NOS-21/14"</f>
        <v>52-15/NOS-21/14</v>
      </c>
      <c r="D1139" s="2" t="s">
        <v>16</v>
      </c>
      <c r="E1139" s="2" t="s">
        <v>1250</v>
      </c>
      <c r="F1139" s="2" t="s">
        <v>1349</v>
      </c>
      <c r="G1139" s="2" t="str">
        <f>"52-15/NOS-21/14"</f>
        <v>52-15/NOS-21/14</v>
      </c>
      <c r="H1139" s="2" t="str">
        <f t="shared" si="28"/>
        <v>Ugovor - narudžbenica (periodični predmet)</v>
      </c>
      <c r="I1139" s="2" t="s">
        <v>19</v>
      </c>
      <c r="J1139" s="3" t="str">
        <f>"16.943,40"</f>
        <v>16.943,40</v>
      </c>
      <c r="K1139" s="2" t="s">
        <v>1346</v>
      </c>
      <c r="L1139" s="2" t="s">
        <v>1341</v>
      </c>
      <c r="M1139" s="2" t="s">
        <v>944</v>
      </c>
      <c r="N1139" s="2" t="str">
        <f>"05.01.2016"</f>
        <v>05.01.2016</v>
      </c>
      <c r="O1139" s="3" t="str">
        <f>"7.662,60"</f>
        <v>7.662,60</v>
      </c>
      <c r="P1139" s="4"/>
    </row>
    <row r="1140" spans="2:16" ht="63" x14ac:dyDescent="0.25">
      <c r="B1140" s="2">
        <v>906</v>
      </c>
      <c r="C1140" s="2" t="str">
        <f>"78-15/NOS-103/13"</f>
        <v>78-15/NOS-103/13</v>
      </c>
      <c r="D1140" s="2" t="s">
        <v>16</v>
      </c>
      <c r="E1140" s="2" t="s">
        <v>1250</v>
      </c>
      <c r="F1140" s="2" t="s">
        <v>543</v>
      </c>
      <c r="G1140" s="2" t="str">
        <f>"78-15/NOS-103/13"</f>
        <v>78-15/NOS-103/13</v>
      </c>
      <c r="H1140" s="2" t="str">
        <f t="shared" si="28"/>
        <v>Ugovor - narudžbenica (periodični predmet)</v>
      </c>
      <c r="I1140" s="2" t="s">
        <v>19</v>
      </c>
      <c r="J1140" s="3" t="str">
        <f>"4.930,02"</f>
        <v>4.930,02</v>
      </c>
      <c r="K1140" s="2" t="s">
        <v>1346</v>
      </c>
      <c r="L1140" s="2" t="s">
        <v>1350</v>
      </c>
      <c r="M1140" s="2" t="s">
        <v>75</v>
      </c>
      <c r="N1140" s="2" t="str">
        <f>"18.09.2015"</f>
        <v>18.09.2015</v>
      </c>
      <c r="O1140" s="3" t="str">
        <f>"4.930,02"</f>
        <v>4.930,02</v>
      </c>
      <c r="P1140" s="4"/>
    </row>
    <row r="1141" spans="2:16" ht="63" x14ac:dyDescent="0.25">
      <c r="B1141" s="2">
        <v>907</v>
      </c>
      <c r="C1141" s="2" t="str">
        <f>"21-15/NOS-97/14"</f>
        <v>21-15/NOS-97/14</v>
      </c>
      <c r="D1141" s="2" t="s">
        <v>16</v>
      </c>
      <c r="E1141" s="2" t="s">
        <v>1250</v>
      </c>
      <c r="F1141" s="2" t="s">
        <v>1285</v>
      </c>
      <c r="G1141" s="2" t="str">
        <f>"21-15/NOS-97/14"</f>
        <v>21-15/NOS-97/14</v>
      </c>
      <c r="H1141" s="2" t="str">
        <f t="shared" si="28"/>
        <v>Ugovor - narudžbenica (periodični predmet)</v>
      </c>
      <c r="I1141" s="2" t="s">
        <v>19</v>
      </c>
      <c r="J1141" s="3" t="str">
        <f>"17.442,65"</f>
        <v>17.442,65</v>
      </c>
      <c r="K1141" s="2" t="s">
        <v>1346</v>
      </c>
      <c r="L1141" s="2" t="s">
        <v>1341</v>
      </c>
      <c r="M1141" s="2" t="s">
        <v>44</v>
      </c>
      <c r="N1141" s="2" t="str">
        <f>"13.10.2015"</f>
        <v>13.10.2015</v>
      </c>
      <c r="O1141" s="3" t="str">
        <f>"17.362,46"</f>
        <v>17.362,46</v>
      </c>
      <c r="P1141" s="4"/>
    </row>
    <row r="1142" spans="2:16" ht="63" x14ac:dyDescent="0.25">
      <c r="B1142" s="2">
        <v>908</v>
      </c>
      <c r="C1142" s="2" t="str">
        <f>"21-15/NOS-24-ZGH/14"</f>
        <v>21-15/NOS-24-ZGH/14</v>
      </c>
      <c r="D1142" s="2" t="s">
        <v>16</v>
      </c>
      <c r="E1142" s="2" t="s">
        <v>1250</v>
      </c>
      <c r="F1142" s="2" t="s">
        <v>1276</v>
      </c>
      <c r="G1142" s="2" t="str">
        <f>"21-15/NOS-24-ZGH/14"</f>
        <v>21-15/NOS-24-ZGH/14</v>
      </c>
      <c r="H1142" s="2" t="str">
        <f t="shared" si="28"/>
        <v>Ugovor - narudžbenica (periodični predmet)</v>
      </c>
      <c r="I1142" s="2" t="s">
        <v>19</v>
      </c>
      <c r="J1142" s="3" t="str">
        <f>"1.392,00"</f>
        <v>1.392,00</v>
      </c>
      <c r="K1142" s="2" t="s">
        <v>1346</v>
      </c>
      <c r="L1142" s="2" t="s">
        <v>1350</v>
      </c>
      <c r="M1142" s="2" t="s">
        <v>1307</v>
      </c>
      <c r="N1142" s="2" t="str">
        <f>"15.09.2015"</f>
        <v>15.09.2015</v>
      </c>
      <c r="O1142" s="3" t="str">
        <f>"1.392,00"</f>
        <v>1.392,00</v>
      </c>
      <c r="P1142" s="4"/>
    </row>
    <row r="1143" spans="2:16" ht="63" x14ac:dyDescent="0.25">
      <c r="B1143" s="2">
        <v>909</v>
      </c>
      <c r="C1143" s="2" t="str">
        <f>"3-15/NOS-60/15"</f>
        <v>3-15/NOS-60/15</v>
      </c>
      <c r="D1143" s="2" t="s">
        <v>16</v>
      </c>
      <c r="E1143" s="2" t="s">
        <v>1250</v>
      </c>
      <c r="F1143" s="2" t="s">
        <v>157</v>
      </c>
      <c r="G1143" s="2" t="str">
        <f>"3-15/NOS-60/15"</f>
        <v>3-15/NOS-60/15</v>
      </c>
      <c r="H1143" s="2" t="str">
        <f t="shared" si="28"/>
        <v>Ugovor - narudžbenica (periodični predmet)</v>
      </c>
      <c r="I1143" s="2" t="s">
        <v>19</v>
      </c>
      <c r="J1143" s="3" t="str">
        <f>"5.027,55"</f>
        <v>5.027,55</v>
      </c>
      <c r="K1143" s="2" t="s">
        <v>443</v>
      </c>
      <c r="L1143" s="2" t="s">
        <v>1350</v>
      </c>
      <c r="M1143" s="2" t="s">
        <v>160</v>
      </c>
      <c r="N1143" s="2" t="str">
        <f>"10.11.2015"</f>
        <v>10.11.2015</v>
      </c>
      <c r="O1143" s="3" t="str">
        <f>"5.027,55"</f>
        <v>5.027,55</v>
      </c>
      <c r="P1143" s="4"/>
    </row>
    <row r="1144" spans="2:16" ht="63" x14ac:dyDescent="0.25">
      <c r="B1144" s="2">
        <v>910</v>
      </c>
      <c r="C1144" s="2" t="str">
        <f>"1-15/NOS-100-A/15"</f>
        <v>1-15/NOS-100-A/15</v>
      </c>
      <c r="D1144" s="2" t="s">
        <v>16</v>
      </c>
      <c r="E1144" s="2" t="s">
        <v>1250</v>
      </c>
      <c r="F1144" s="2" t="s">
        <v>1255</v>
      </c>
      <c r="G1144" s="2" t="str">
        <f>"1-15/NOS-100-A/15"</f>
        <v>1-15/NOS-100-A/15</v>
      </c>
      <c r="H1144" s="2" t="str">
        <f t="shared" si="28"/>
        <v>Ugovor - narudžbenica (periodični predmet)</v>
      </c>
      <c r="I1144" s="2" t="s">
        <v>19</v>
      </c>
      <c r="J1144" s="3" t="str">
        <f>"8.581,92"</f>
        <v>8.581,92</v>
      </c>
      <c r="K1144" s="2" t="s">
        <v>443</v>
      </c>
      <c r="L1144" s="2" t="s">
        <v>1350</v>
      </c>
      <c r="M1144" s="2" t="s">
        <v>565</v>
      </c>
      <c r="N1144" s="2" t="str">
        <f>"30.12.2015"</f>
        <v>30.12.2015</v>
      </c>
      <c r="O1144" s="3" t="str">
        <f>"8.581,92"</f>
        <v>8.581,92</v>
      </c>
      <c r="P1144" s="4"/>
    </row>
    <row r="1145" spans="2:16" ht="63" x14ac:dyDescent="0.25">
      <c r="B1145" s="2">
        <v>911</v>
      </c>
      <c r="C1145" s="2" t="str">
        <f>"9-15/NOS-183/13"</f>
        <v>9-15/NOS-183/13</v>
      </c>
      <c r="D1145" s="2" t="s">
        <v>85</v>
      </c>
      <c r="E1145" s="2" t="s">
        <v>1250</v>
      </c>
      <c r="F1145" s="2" t="s">
        <v>1292</v>
      </c>
      <c r="G1145" s="2" t="str">
        <f>"9-15/NOS-183/13"</f>
        <v>9-15/NOS-183/13</v>
      </c>
      <c r="H1145" s="2" t="str">
        <f t="shared" si="28"/>
        <v>Ugovor - narudžbenica (periodični predmet)</v>
      </c>
      <c r="I1145" s="2" t="s">
        <v>19</v>
      </c>
      <c r="J1145" s="3" t="str">
        <f>"13.171,00"</f>
        <v>13.171,00</v>
      </c>
      <c r="K1145" s="2" t="s">
        <v>1071</v>
      </c>
      <c r="L1145" s="2" t="s">
        <v>1350</v>
      </c>
      <c r="M1145" s="2" t="s">
        <v>1351</v>
      </c>
      <c r="N1145" s="2" t="str">
        <f>"29.09.2015"</f>
        <v>29.09.2015</v>
      </c>
      <c r="O1145" s="3" t="str">
        <f>"12.557,20"</f>
        <v>12.557,20</v>
      </c>
      <c r="P1145" s="4"/>
    </row>
    <row r="1146" spans="2:16" ht="63" x14ac:dyDescent="0.25">
      <c r="B1146" s="2">
        <v>912</v>
      </c>
      <c r="C1146" s="2" t="str">
        <f>"59-15/NOS-136/13"</f>
        <v>59-15/NOS-136/13</v>
      </c>
      <c r="D1146" s="2" t="s">
        <v>16</v>
      </c>
      <c r="E1146" s="2" t="s">
        <v>1250</v>
      </c>
      <c r="F1146" s="2" t="s">
        <v>536</v>
      </c>
      <c r="G1146" s="2" t="str">
        <f>"59-15/NOS-136/13"</f>
        <v>59-15/NOS-136/13</v>
      </c>
      <c r="H1146" s="2" t="str">
        <f t="shared" si="28"/>
        <v>Ugovor - narudžbenica (periodični predmet)</v>
      </c>
      <c r="I1146" s="2" t="s">
        <v>19</v>
      </c>
      <c r="J1146" s="3" t="str">
        <f>"6.251,25"</f>
        <v>6.251,25</v>
      </c>
      <c r="K1146" s="2" t="s">
        <v>1071</v>
      </c>
      <c r="L1146" s="2" t="s">
        <v>1350</v>
      </c>
      <c r="M1146" s="2" t="s">
        <v>891</v>
      </c>
      <c r="N1146" s="2" t="str">
        <f>"06.11.2015"</f>
        <v>06.11.2015</v>
      </c>
      <c r="O1146" s="3" t="str">
        <f>"6.251,25"</f>
        <v>6.251,25</v>
      </c>
      <c r="P1146" s="4"/>
    </row>
    <row r="1147" spans="2:16" ht="63" x14ac:dyDescent="0.25">
      <c r="B1147" s="2">
        <v>913</v>
      </c>
      <c r="C1147" s="2" t="str">
        <f>"14-15/NOS-205/13"</f>
        <v>14-15/NOS-205/13</v>
      </c>
      <c r="D1147" s="2" t="s">
        <v>16</v>
      </c>
      <c r="E1147" s="2" t="s">
        <v>1250</v>
      </c>
      <c r="F1147" s="2" t="s">
        <v>1290</v>
      </c>
      <c r="G1147" s="2" t="str">
        <f>"14-15/NOS-205/13"</f>
        <v>14-15/NOS-205/13</v>
      </c>
      <c r="H1147" s="2" t="str">
        <f t="shared" si="28"/>
        <v>Ugovor - narudžbenica (periodični predmet)</v>
      </c>
      <c r="I1147" s="2" t="s">
        <v>19</v>
      </c>
      <c r="J1147" s="3" t="str">
        <f>"380,00"</f>
        <v>380,00</v>
      </c>
      <c r="K1147" s="2" t="s">
        <v>1071</v>
      </c>
      <c r="L1147" s="2" t="s">
        <v>1350</v>
      </c>
      <c r="M1147" s="2" t="s">
        <v>44</v>
      </c>
      <c r="N1147" s="2" t="str">
        <f>"28.09.2015"</f>
        <v>28.09.2015</v>
      </c>
      <c r="O1147" s="3" t="str">
        <f>"380,00"</f>
        <v>380,00</v>
      </c>
      <c r="P1147" s="4"/>
    </row>
    <row r="1148" spans="2:16" ht="63" x14ac:dyDescent="0.25">
      <c r="B1148" s="2">
        <v>914</v>
      </c>
      <c r="C1148" s="2" t="str">
        <f>"13-15/NOS-47/14"</f>
        <v>13-15/NOS-47/14</v>
      </c>
      <c r="D1148" s="2" t="s">
        <v>16</v>
      </c>
      <c r="E1148" s="2" t="s">
        <v>1250</v>
      </c>
      <c r="F1148" s="2" t="s">
        <v>1298</v>
      </c>
      <c r="G1148" s="2" t="str">
        <f>"13-15/NOS-47/14"</f>
        <v>13-15/NOS-47/14</v>
      </c>
      <c r="H1148" s="2" t="str">
        <f t="shared" si="28"/>
        <v>Ugovor - narudžbenica (periodični predmet)</v>
      </c>
      <c r="I1148" s="2" t="s">
        <v>19</v>
      </c>
      <c r="J1148" s="3" t="str">
        <f>"1.343,50"</f>
        <v>1.343,50</v>
      </c>
      <c r="K1148" s="2" t="s">
        <v>1071</v>
      </c>
      <c r="L1148" s="2" t="s">
        <v>1350</v>
      </c>
      <c r="M1148" s="2" t="s">
        <v>960</v>
      </c>
      <c r="N1148" s="2" t="str">
        <f>"11.09.2015"</f>
        <v>11.09.2015</v>
      </c>
      <c r="O1148" s="3" t="str">
        <f>"1.343,50"</f>
        <v>1.343,50</v>
      </c>
      <c r="P1148" s="4"/>
    </row>
    <row r="1149" spans="2:16" ht="63" x14ac:dyDescent="0.25">
      <c r="B1149" s="2">
        <v>915</v>
      </c>
      <c r="C1149" s="2" t="str">
        <f>"4-15/NOS-70/14"</f>
        <v>4-15/NOS-70/14</v>
      </c>
      <c r="D1149" s="2" t="s">
        <v>16</v>
      </c>
      <c r="E1149" s="2" t="s">
        <v>1250</v>
      </c>
      <c r="F1149" s="2" t="s">
        <v>1287</v>
      </c>
      <c r="G1149" s="2" t="str">
        <f>"4-15/NOS-70/14"</f>
        <v>4-15/NOS-70/14</v>
      </c>
      <c r="H1149" s="2" t="str">
        <f t="shared" si="28"/>
        <v>Ugovor - narudžbenica (periodični predmet)</v>
      </c>
      <c r="I1149" s="2" t="s">
        <v>19</v>
      </c>
      <c r="J1149" s="3" t="str">
        <f>"3.556,00"</f>
        <v>3.556,00</v>
      </c>
      <c r="K1149" s="2" t="s">
        <v>1071</v>
      </c>
      <c r="L1149" s="2" t="s">
        <v>1350</v>
      </c>
      <c r="M1149" s="2" t="s">
        <v>1288</v>
      </c>
      <c r="N1149" s="2" t="str">
        <f>"24.09.2015"</f>
        <v>24.09.2015</v>
      </c>
      <c r="O1149" s="3" t="str">
        <f>"3.556,00"</f>
        <v>3.556,00</v>
      </c>
      <c r="P1149" s="4"/>
    </row>
    <row r="1150" spans="2:16" ht="63" x14ac:dyDescent="0.25">
      <c r="B1150" s="2">
        <v>916</v>
      </c>
      <c r="C1150" s="2" t="str">
        <f>"7-15/NOS-118/14"</f>
        <v>7-15/NOS-118/14</v>
      </c>
      <c r="D1150" s="2" t="s">
        <v>85</v>
      </c>
      <c r="E1150" s="2" t="s">
        <v>1250</v>
      </c>
      <c r="F1150" s="2" t="s">
        <v>86</v>
      </c>
      <c r="G1150" s="2" t="str">
        <f>"7-15/NOS-118/14"</f>
        <v>7-15/NOS-118/14</v>
      </c>
      <c r="H1150" s="2" t="str">
        <f t="shared" si="28"/>
        <v>Ugovor - narudžbenica (periodični predmet)</v>
      </c>
      <c r="I1150" s="2" t="s">
        <v>19</v>
      </c>
      <c r="J1150" s="3" t="str">
        <f>"73.950,00"</f>
        <v>73.950,00</v>
      </c>
      <c r="K1150" s="2" t="s">
        <v>1071</v>
      </c>
      <c r="L1150" s="2" t="s">
        <v>1350</v>
      </c>
      <c r="M1150" s="2" t="s">
        <v>89</v>
      </c>
      <c r="N1150" s="2" t="str">
        <f>"29.09.2015"</f>
        <v>29.09.2015</v>
      </c>
      <c r="O1150" s="3" t="str">
        <f>"73.950,00"</f>
        <v>73.950,00</v>
      </c>
      <c r="P1150" s="4"/>
    </row>
    <row r="1151" spans="2:16" ht="63" x14ac:dyDescent="0.25">
      <c r="B1151" s="2">
        <v>917</v>
      </c>
      <c r="C1151" s="2" t="str">
        <f>"9-15/NOS-122/14"</f>
        <v>9-15/NOS-122/14</v>
      </c>
      <c r="D1151" s="2" t="s">
        <v>16</v>
      </c>
      <c r="E1151" s="2" t="s">
        <v>1250</v>
      </c>
      <c r="F1151" s="2" t="s">
        <v>58</v>
      </c>
      <c r="G1151" s="2" t="str">
        <f>"9-15/NOS-122/14"</f>
        <v>9-15/NOS-122/14</v>
      </c>
      <c r="H1151" s="2" t="str">
        <f t="shared" si="28"/>
        <v>Ugovor - narudžbenica (periodični predmet)</v>
      </c>
      <c r="I1151" s="2" t="s">
        <v>19</v>
      </c>
      <c r="J1151" s="3" t="str">
        <f>"1.152,50"</f>
        <v>1.152,50</v>
      </c>
      <c r="K1151" s="2" t="s">
        <v>1071</v>
      </c>
      <c r="L1151" s="2" t="s">
        <v>1350</v>
      </c>
      <c r="M1151" s="2" t="s">
        <v>61</v>
      </c>
      <c r="N1151" s="2" t="str">
        <f>"04.01.2016"</f>
        <v>04.01.2016</v>
      </c>
      <c r="O1151" s="3" t="str">
        <f>"1.152,50"</f>
        <v>1.152,50</v>
      </c>
      <c r="P1151" s="4"/>
    </row>
    <row r="1152" spans="2:16" ht="63" x14ac:dyDescent="0.25">
      <c r="B1152" s="2">
        <v>918</v>
      </c>
      <c r="C1152" s="2" t="str">
        <f>"1-15/NOS-97-B/15"</f>
        <v>1-15/NOS-97-B/15</v>
      </c>
      <c r="D1152" s="2" t="s">
        <v>16</v>
      </c>
      <c r="E1152" s="2" t="s">
        <v>1250</v>
      </c>
      <c r="F1152" s="2" t="s">
        <v>1271</v>
      </c>
      <c r="G1152" s="2" t="str">
        <f>"1-15/NOS-97-B/15"</f>
        <v>1-15/NOS-97-B/15</v>
      </c>
      <c r="H1152" s="2" t="str">
        <f t="shared" si="28"/>
        <v>Ugovor - narudžbenica (periodični predmet)</v>
      </c>
      <c r="I1152" s="2" t="s">
        <v>19</v>
      </c>
      <c r="J1152" s="3" t="str">
        <f>"2.737,50"</f>
        <v>2.737,50</v>
      </c>
      <c r="K1152" s="2" t="s">
        <v>1071</v>
      </c>
      <c r="L1152" s="2" t="s">
        <v>1350</v>
      </c>
      <c r="M1152" s="2" t="s">
        <v>44</v>
      </c>
      <c r="N1152" s="2" t="str">
        <f>"16.09.2015"</f>
        <v>16.09.2015</v>
      </c>
      <c r="O1152" s="3" t="str">
        <f>"2.737,50"</f>
        <v>2.737,50</v>
      </c>
      <c r="P1152" s="4"/>
    </row>
    <row r="1153" spans="2:16" ht="63" x14ac:dyDescent="0.25">
      <c r="B1153" s="2">
        <v>919</v>
      </c>
      <c r="C1153" s="2" t="str">
        <f>"1-15/NOS-101-A/15"</f>
        <v>1-15/NOS-101-A/15</v>
      </c>
      <c r="D1153" s="2" t="s">
        <v>16</v>
      </c>
      <c r="E1153" s="2" t="s">
        <v>1250</v>
      </c>
      <c r="F1153" s="2" t="s">
        <v>1352</v>
      </c>
      <c r="G1153" s="2" t="str">
        <f>"1-15/NOS-101-A/15"</f>
        <v>1-15/NOS-101-A/15</v>
      </c>
      <c r="H1153" s="2" t="str">
        <f t="shared" si="28"/>
        <v>Ugovor - narudžbenica (periodični predmet)</v>
      </c>
      <c r="I1153" s="2" t="s">
        <v>19</v>
      </c>
      <c r="J1153" s="3" t="str">
        <f>"27.500,00"</f>
        <v>27.500,00</v>
      </c>
      <c r="K1153" s="2" t="s">
        <v>1071</v>
      </c>
      <c r="L1153" s="2" t="s">
        <v>1350</v>
      </c>
      <c r="M1153" s="2" t="s">
        <v>419</v>
      </c>
      <c r="N1153" s="2" t="str">
        <f>"08.09.2015"</f>
        <v>08.09.2015</v>
      </c>
      <c r="O1153" s="3" t="str">
        <f>"27.500,00"</f>
        <v>27.500,00</v>
      </c>
      <c r="P1153" s="4"/>
    </row>
    <row r="1154" spans="2:16" ht="63" x14ac:dyDescent="0.25">
      <c r="B1154" s="2">
        <v>920</v>
      </c>
      <c r="C1154" s="2" t="str">
        <f>"22-15/NOS-24-ZGH/14"</f>
        <v>22-15/NOS-24-ZGH/14</v>
      </c>
      <c r="D1154" s="2" t="s">
        <v>16</v>
      </c>
      <c r="E1154" s="2" t="s">
        <v>1250</v>
      </c>
      <c r="F1154" s="2" t="s">
        <v>1276</v>
      </c>
      <c r="G1154" s="2" t="str">
        <f>"22-15/NOS-24-ZGH/14"</f>
        <v>22-15/NOS-24-ZGH/14</v>
      </c>
      <c r="H1154" s="2" t="str">
        <f t="shared" si="28"/>
        <v>Ugovor - narudžbenica (periodični predmet)</v>
      </c>
      <c r="I1154" s="2" t="s">
        <v>19</v>
      </c>
      <c r="J1154" s="3" t="str">
        <f>"17.112,00"</f>
        <v>17.112,00</v>
      </c>
      <c r="K1154" s="2" t="s">
        <v>1071</v>
      </c>
      <c r="L1154" s="2" t="s">
        <v>1353</v>
      </c>
      <c r="M1154" s="2" t="s">
        <v>711</v>
      </c>
      <c r="N1154" s="2" t="str">
        <f>"09.11.2015"</f>
        <v>09.11.2015</v>
      </c>
      <c r="O1154" s="3" t="str">
        <f>"17.112,00"</f>
        <v>17.112,00</v>
      </c>
      <c r="P1154" s="4"/>
    </row>
    <row r="1155" spans="2:16" s="15" customFormat="1" ht="15.75" x14ac:dyDescent="0.25">
      <c r="B1155" s="32">
        <v>921</v>
      </c>
      <c r="C1155" s="32" t="str">
        <f>"1-15/NOS-97-A/15"</f>
        <v>1-15/NOS-97-A/15</v>
      </c>
      <c r="D1155" s="32" t="s">
        <v>16</v>
      </c>
      <c r="E1155" s="32" t="s">
        <v>1250</v>
      </c>
      <c r="F1155" s="32" t="s">
        <v>1271</v>
      </c>
      <c r="G1155" s="32" t="str">
        <f>"1-15/NOS-97-A/15"</f>
        <v>1-15/NOS-97-A/15</v>
      </c>
      <c r="H1155" s="32" t="str">
        <f t="shared" si="28"/>
        <v>Ugovor - narudžbenica (periodični predmet)</v>
      </c>
      <c r="I1155" s="32" t="s">
        <v>19</v>
      </c>
      <c r="J1155" s="40" t="str">
        <f>"10.640,90"</f>
        <v>10.640,90</v>
      </c>
      <c r="K1155" s="32" t="s">
        <v>1071</v>
      </c>
      <c r="L1155" s="32" t="s">
        <v>1339</v>
      </c>
      <c r="M1155" s="32" t="s">
        <v>44</v>
      </c>
      <c r="N1155" s="32" t="str">
        <f>"16.10.2015"</f>
        <v>16.10.2015</v>
      </c>
      <c r="O1155" s="40" t="str">
        <f>"10.640,90"</f>
        <v>10.640,90</v>
      </c>
      <c r="P1155" s="20"/>
    </row>
    <row r="1156" spans="2:16" s="15" customFormat="1" ht="30.75" customHeight="1" x14ac:dyDescent="0.25">
      <c r="B1156" s="33"/>
      <c r="C1156" s="33"/>
      <c r="D1156" s="33"/>
      <c r="E1156" s="33"/>
      <c r="F1156" s="33"/>
      <c r="G1156" s="33"/>
      <c r="H1156" s="33"/>
      <c r="I1156" s="33"/>
      <c r="J1156" s="41"/>
      <c r="K1156" s="33"/>
      <c r="L1156" s="33"/>
      <c r="M1156" s="33"/>
      <c r="N1156" s="33"/>
      <c r="O1156" s="41"/>
      <c r="P1156" s="21"/>
    </row>
    <row r="1157" spans="2:16" ht="63" x14ac:dyDescent="0.25">
      <c r="B1157" s="2">
        <v>922</v>
      </c>
      <c r="C1157" s="2" t="str">
        <f>"33-15/NOS-29/12"</f>
        <v>33-15/NOS-29/12</v>
      </c>
      <c r="D1157" s="2" t="s">
        <v>85</v>
      </c>
      <c r="E1157" s="2" t="s">
        <v>1250</v>
      </c>
      <c r="F1157" s="2" t="s">
        <v>1269</v>
      </c>
      <c r="G1157" s="2" t="str">
        <f>"33-15/NOS-29/12"</f>
        <v>33-15/NOS-29/12</v>
      </c>
      <c r="H1157" s="2" t="str">
        <f>"Ugovor - narudžbenica (periodični predmet)"</f>
        <v>Ugovor - narudžbenica (periodični predmet)</v>
      </c>
      <c r="I1157" s="2" t="s">
        <v>19</v>
      </c>
      <c r="J1157" s="3" t="str">
        <f>"71.196,30"</f>
        <v>71.196,30</v>
      </c>
      <c r="K1157" s="2" t="s">
        <v>448</v>
      </c>
      <c r="L1157" s="2" t="s">
        <v>1051</v>
      </c>
      <c r="M1157" s="2" t="s">
        <v>1201</v>
      </c>
      <c r="N1157" s="2" t="str">
        <f>"29.10.2015"</f>
        <v>29.10.2015</v>
      </c>
      <c r="O1157" s="3" t="str">
        <f>"60.836,70"</f>
        <v>60.836,70</v>
      </c>
      <c r="P1157" s="4"/>
    </row>
    <row r="1158" spans="2:16" ht="15.75" x14ac:dyDescent="0.25">
      <c r="B1158" s="36">
        <v>923</v>
      </c>
      <c r="C1158" s="36" t="str">
        <f>"42-15/NOS-53-ZGH/14"</f>
        <v>42-15/NOS-53-ZGH/14</v>
      </c>
      <c r="D1158" s="36" t="s">
        <v>28</v>
      </c>
      <c r="E1158" s="36" t="s">
        <v>1250</v>
      </c>
      <c r="F1158" s="36" t="s">
        <v>1272</v>
      </c>
      <c r="G1158" s="36" t="str">
        <f>"42-15/NOS-53-ZGH/14"</f>
        <v>42-15/NOS-53-ZGH/14</v>
      </c>
      <c r="H1158" s="36" t="str">
        <f>"Ugovor - narudžbenica (periodični predmet)"</f>
        <v>Ugovor - narudžbenica (periodični predmet)</v>
      </c>
      <c r="I1158" s="36" t="s">
        <v>19</v>
      </c>
      <c r="J1158" s="38" t="str">
        <f>"39.918,80"</f>
        <v>39.918,80</v>
      </c>
      <c r="K1158" s="36" t="s">
        <v>448</v>
      </c>
      <c r="L1158" s="36" t="s">
        <v>1341</v>
      </c>
      <c r="M1158" s="36" t="s">
        <v>1097</v>
      </c>
      <c r="N1158" s="36" t="str">
        <f>"19.11.2015"</f>
        <v>19.11.2015</v>
      </c>
      <c r="O1158" s="38" t="str">
        <f>"39.918,34"</f>
        <v>39.918,34</v>
      </c>
      <c r="P1158" s="6"/>
    </row>
    <row r="1159" spans="2:16" ht="27.75" customHeight="1" x14ac:dyDescent="0.25">
      <c r="B1159" s="37"/>
      <c r="C1159" s="37"/>
      <c r="D1159" s="37"/>
      <c r="E1159" s="37"/>
      <c r="F1159" s="37"/>
      <c r="G1159" s="37"/>
      <c r="H1159" s="37"/>
      <c r="I1159" s="37"/>
      <c r="J1159" s="39"/>
      <c r="K1159" s="37"/>
      <c r="L1159" s="37"/>
      <c r="M1159" s="37"/>
      <c r="N1159" s="37"/>
      <c r="O1159" s="39"/>
      <c r="P1159" s="8"/>
    </row>
    <row r="1160" spans="2:16" ht="63" x14ac:dyDescent="0.25">
      <c r="B1160" s="2">
        <v>924</v>
      </c>
      <c r="C1160" s="2" t="str">
        <f>"4-15/NOS-214/13"</f>
        <v>4-15/NOS-214/13</v>
      </c>
      <c r="D1160" s="2" t="s">
        <v>28</v>
      </c>
      <c r="E1160" s="2" t="s">
        <v>1250</v>
      </c>
      <c r="F1160" s="2" t="s">
        <v>1326</v>
      </c>
      <c r="G1160" s="2" t="str">
        <f>"4-15/NOS-214/13"</f>
        <v>4-15/NOS-214/13</v>
      </c>
      <c r="H1160" s="2" t="str">
        <f t="shared" ref="H1160:H1222" si="29">"Ugovor - narudžbenica (periodični predmet)"</f>
        <v>Ugovor - narudžbenica (periodični predmet)</v>
      </c>
      <c r="I1160" s="2" t="s">
        <v>19</v>
      </c>
      <c r="J1160" s="3" t="str">
        <f>"23.427,75"</f>
        <v>23.427,75</v>
      </c>
      <c r="K1160" s="2" t="s">
        <v>421</v>
      </c>
      <c r="L1160" s="2" t="s">
        <v>1081</v>
      </c>
      <c r="M1160" s="2" t="s">
        <v>1354</v>
      </c>
      <c r="N1160" s="2" t="str">
        <f>"16.12.2015"</f>
        <v>16.12.2015</v>
      </c>
      <c r="O1160" s="3" t="str">
        <f>"23.427,75"</f>
        <v>23.427,75</v>
      </c>
      <c r="P1160" s="4"/>
    </row>
    <row r="1161" spans="2:16" ht="63" x14ac:dyDescent="0.25">
      <c r="B1161" s="2">
        <v>925</v>
      </c>
      <c r="C1161" s="2" t="str">
        <f>"26-15/NOS-137/13"</f>
        <v>26-15/NOS-137/13</v>
      </c>
      <c r="D1161" s="2" t="s">
        <v>28</v>
      </c>
      <c r="E1161" s="2" t="s">
        <v>1250</v>
      </c>
      <c r="F1161" s="2" t="s">
        <v>1330</v>
      </c>
      <c r="G1161" s="2" t="str">
        <f>"26-15/NOS-137/13"</f>
        <v>26-15/NOS-137/13</v>
      </c>
      <c r="H1161" s="2" t="str">
        <f t="shared" si="29"/>
        <v>Ugovor - narudžbenica (periodični predmet)</v>
      </c>
      <c r="I1161" s="2" t="s">
        <v>19</v>
      </c>
      <c r="J1161" s="3" t="str">
        <f>"1.430,00"</f>
        <v>1.430,00</v>
      </c>
      <c r="K1161" s="2" t="s">
        <v>421</v>
      </c>
      <c r="L1161" s="2" t="s">
        <v>1081</v>
      </c>
      <c r="M1161" s="2" t="s">
        <v>508</v>
      </c>
      <c r="N1161" s="2" t="str">
        <f>"30.09.2015"</f>
        <v>30.09.2015</v>
      </c>
      <c r="O1161" s="3" t="str">
        <f>"1.430,00"</f>
        <v>1.430,00</v>
      </c>
      <c r="P1161" s="4"/>
    </row>
    <row r="1162" spans="2:16" ht="63" x14ac:dyDescent="0.25">
      <c r="B1162" s="2">
        <v>926</v>
      </c>
      <c r="C1162" s="2" t="str">
        <f>"2-15/NOS-97-B/15"</f>
        <v>2-15/NOS-97-B/15</v>
      </c>
      <c r="D1162" s="2" t="s">
        <v>28</v>
      </c>
      <c r="E1162" s="2" t="s">
        <v>1250</v>
      </c>
      <c r="F1162" s="2" t="s">
        <v>1271</v>
      </c>
      <c r="G1162" s="2" t="str">
        <f>"2-15/NOS-97-B/15"</f>
        <v>2-15/NOS-97-B/15</v>
      </c>
      <c r="H1162" s="2" t="str">
        <f t="shared" si="29"/>
        <v>Ugovor - narudžbenica (periodični predmet)</v>
      </c>
      <c r="I1162" s="2" t="s">
        <v>19</v>
      </c>
      <c r="J1162" s="3" t="str">
        <f>"24.735,74"</f>
        <v>24.735,74</v>
      </c>
      <c r="K1162" s="2" t="s">
        <v>421</v>
      </c>
      <c r="L1162" s="2" t="s">
        <v>1350</v>
      </c>
      <c r="M1162" s="2" t="s">
        <v>44</v>
      </c>
      <c r="N1162" s="2" t="str">
        <f>"22.10.2015"</f>
        <v>22.10.2015</v>
      </c>
      <c r="O1162" s="3" t="str">
        <f>"23.514,06"</f>
        <v>23.514,06</v>
      </c>
      <c r="P1162" s="4"/>
    </row>
    <row r="1163" spans="2:16" ht="63" x14ac:dyDescent="0.25">
      <c r="B1163" s="2">
        <v>927</v>
      </c>
      <c r="C1163" s="2" t="str">
        <f>"37-15/NOS-109/13"</f>
        <v>37-15/NOS-109/13</v>
      </c>
      <c r="D1163" s="2" t="s">
        <v>28</v>
      </c>
      <c r="E1163" s="2" t="s">
        <v>1250</v>
      </c>
      <c r="F1163" s="2" t="s">
        <v>1312</v>
      </c>
      <c r="G1163" s="2" t="str">
        <f>"37-15/NOS-109/13"</f>
        <v>37-15/NOS-109/13</v>
      </c>
      <c r="H1163" s="2" t="str">
        <f t="shared" si="29"/>
        <v>Ugovor - narudžbenica (periodični predmet)</v>
      </c>
      <c r="I1163" s="2" t="s">
        <v>19</v>
      </c>
      <c r="J1163" s="3" t="str">
        <f>"19.849,50"</f>
        <v>19.849,50</v>
      </c>
      <c r="K1163" s="2" t="s">
        <v>421</v>
      </c>
      <c r="L1163" s="2" t="s">
        <v>1341</v>
      </c>
      <c r="M1163" s="2" t="s">
        <v>84</v>
      </c>
      <c r="N1163" s="2" t="str">
        <f>"04.11.2015"</f>
        <v>04.11.2015</v>
      </c>
      <c r="O1163" s="3" t="str">
        <f>"19.503,00"</f>
        <v>19.503,00</v>
      </c>
      <c r="P1163" s="4"/>
    </row>
    <row r="1164" spans="2:16" ht="63" x14ac:dyDescent="0.25">
      <c r="B1164" s="2">
        <v>928</v>
      </c>
      <c r="C1164" s="2" t="str">
        <f>"1-15/NOS-100-B/15"</f>
        <v>1-15/NOS-100-B/15</v>
      </c>
      <c r="D1164" s="2" t="s">
        <v>16</v>
      </c>
      <c r="E1164" s="2" t="s">
        <v>1250</v>
      </c>
      <c r="F1164" s="2" t="s">
        <v>1255</v>
      </c>
      <c r="G1164" s="2" t="str">
        <f>"1-15/NOS-100-B/15"</f>
        <v>1-15/NOS-100-B/15</v>
      </c>
      <c r="H1164" s="2" t="str">
        <f t="shared" si="29"/>
        <v>Ugovor - narudžbenica (periodični predmet)</v>
      </c>
      <c r="I1164" s="2" t="s">
        <v>19</v>
      </c>
      <c r="J1164" s="3" t="str">
        <f>"936,00"</f>
        <v>936,00</v>
      </c>
      <c r="K1164" s="2" t="s">
        <v>421</v>
      </c>
      <c r="L1164" s="2" t="s">
        <v>1081</v>
      </c>
      <c r="M1164" s="2" t="s">
        <v>631</v>
      </c>
      <c r="N1164" s="2" t="str">
        <f>"16.10.2015"</f>
        <v>16.10.2015</v>
      </c>
      <c r="O1164" s="3" t="str">
        <f>"936,00"</f>
        <v>936,00</v>
      </c>
      <c r="P1164" s="4"/>
    </row>
    <row r="1165" spans="2:16" ht="63" x14ac:dyDescent="0.25">
      <c r="B1165" s="2">
        <v>929</v>
      </c>
      <c r="C1165" s="2" t="str">
        <f>"4-15/NOS-90/15"</f>
        <v>4-15/NOS-90/15</v>
      </c>
      <c r="D1165" s="2" t="s">
        <v>28</v>
      </c>
      <c r="E1165" s="2" t="s">
        <v>1250</v>
      </c>
      <c r="F1165" s="2" t="s">
        <v>177</v>
      </c>
      <c r="G1165" s="2" t="str">
        <f>"4-15/NOS-90/15"</f>
        <v>4-15/NOS-90/15</v>
      </c>
      <c r="H1165" s="2" t="str">
        <f t="shared" si="29"/>
        <v>Ugovor - narudžbenica (periodični predmet)</v>
      </c>
      <c r="I1165" s="2" t="s">
        <v>19</v>
      </c>
      <c r="J1165" s="3" t="str">
        <f>"27.428,50"</f>
        <v>27.428,50</v>
      </c>
      <c r="K1165" s="2" t="s">
        <v>421</v>
      </c>
      <c r="L1165" s="2" t="s">
        <v>1341</v>
      </c>
      <c r="M1165" s="2" t="s">
        <v>44</v>
      </c>
      <c r="N1165" s="2" t="str">
        <f>"12.01.2016"</f>
        <v>12.01.2016</v>
      </c>
      <c r="O1165" s="3" t="str">
        <f>"27.428,50"</f>
        <v>27.428,50</v>
      </c>
      <c r="P1165" s="4"/>
    </row>
    <row r="1166" spans="2:16" ht="63" x14ac:dyDescent="0.25">
      <c r="B1166" s="2">
        <v>930</v>
      </c>
      <c r="C1166" s="2" t="str">
        <f>"2-15/NOS-100-A/15"</f>
        <v>2-15/NOS-100-A/15</v>
      </c>
      <c r="D1166" s="2" t="s">
        <v>28</v>
      </c>
      <c r="E1166" s="2" t="s">
        <v>1250</v>
      </c>
      <c r="F1166" s="2" t="s">
        <v>1255</v>
      </c>
      <c r="G1166" s="2" t="str">
        <f>"2-15/NOS-100-A/15"</f>
        <v>2-15/NOS-100-A/15</v>
      </c>
      <c r="H1166" s="2" t="str">
        <f t="shared" si="29"/>
        <v>Ugovor - narudžbenica (periodični predmet)</v>
      </c>
      <c r="I1166" s="2" t="s">
        <v>19</v>
      </c>
      <c r="J1166" s="3" t="str">
        <f>"7.991,08"</f>
        <v>7.991,08</v>
      </c>
      <c r="K1166" s="2" t="s">
        <v>421</v>
      </c>
      <c r="L1166" s="2" t="s">
        <v>1341</v>
      </c>
      <c r="M1166" s="2" t="s">
        <v>269</v>
      </c>
      <c r="N1166" s="2" t="str">
        <f>"07.10.2015"</f>
        <v>07.10.2015</v>
      </c>
      <c r="O1166" s="3" t="str">
        <f>"7.991,08"</f>
        <v>7.991,08</v>
      </c>
      <c r="P1166" s="4"/>
    </row>
    <row r="1167" spans="2:16" ht="63" x14ac:dyDescent="0.25">
      <c r="B1167" s="2">
        <v>931</v>
      </c>
      <c r="C1167" s="2" t="str">
        <f>"9-15/NOS-90/14"</f>
        <v>9-15/NOS-90/14</v>
      </c>
      <c r="D1167" s="2" t="s">
        <v>16</v>
      </c>
      <c r="E1167" s="2" t="s">
        <v>1250</v>
      </c>
      <c r="F1167" s="2" t="s">
        <v>1274</v>
      </c>
      <c r="G1167" s="2" t="str">
        <f>"9-15/NOS-90/14"</f>
        <v>9-15/NOS-90/14</v>
      </c>
      <c r="H1167" s="2" t="str">
        <f t="shared" si="29"/>
        <v>Ugovor - narudžbenica (periodični predmet)</v>
      </c>
      <c r="I1167" s="2" t="s">
        <v>19</v>
      </c>
      <c r="J1167" s="3" t="str">
        <f>"15.860,00"</f>
        <v>15.860,00</v>
      </c>
      <c r="K1167" s="2" t="s">
        <v>421</v>
      </c>
      <c r="L1167" s="2" t="s">
        <v>1081</v>
      </c>
      <c r="M1167" s="2" t="s">
        <v>419</v>
      </c>
      <c r="N1167" s="2" t="str">
        <f>"18.09.2015"</f>
        <v>18.09.2015</v>
      </c>
      <c r="O1167" s="3" t="str">
        <f>"13.234,56"</f>
        <v>13.234,56</v>
      </c>
      <c r="P1167" s="4"/>
    </row>
    <row r="1168" spans="2:16" ht="63" x14ac:dyDescent="0.25">
      <c r="B1168" s="2">
        <v>932</v>
      </c>
      <c r="C1168" s="2" t="str">
        <f>"2-15/NOS-70-A/15"</f>
        <v>2-15/NOS-70-A/15</v>
      </c>
      <c r="D1168" s="2" t="s">
        <v>28</v>
      </c>
      <c r="E1168" s="2" t="s">
        <v>1250</v>
      </c>
      <c r="F1168" s="2" t="s">
        <v>1342</v>
      </c>
      <c r="G1168" s="2" t="str">
        <f>"2-15/NOS-70-A/15"</f>
        <v>2-15/NOS-70-A/15</v>
      </c>
      <c r="H1168" s="2" t="str">
        <f t="shared" si="29"/>
        <v>Ugovor - narudžbenica (periodični predmet)</v>
      </c>
      <c r="I1168" s="2" t="s">
        <v>19</v>
      </c>
      <c r="J1168" s="3" t="str">
        <f>"1.228,00"</f>
        <v>1.228,00</v>
      </c>
      <c r="K1168" s="2" t="s">
        <v>460</v>
      </c>
      <c r="L1168" s="2" t="s">
        <v>1341</v>
      </c>
      <c r="M1168" s="2" t="s">
        <v>508</v>
      </c>
      <c r="N1168" s="2" t="str">
        <f>"30.09.2015"</f>
        <v>30.09.2015</v>
      </c>
      <c r="O1168" s="3" t="str">
        <f>"1.228,00"</f>
        <v>1.228,00</v>
      </c>
      <c r="P1168" s="4"/>
    </row>
    <row r="1169" spans="2:16" ht="63" x14ac:dyDescent="0.25">
      <c r="B1169" s="2">
        <v>933</v>
      </c>
      <c r="C1169" s="2" t="str">
        <f>"4-15/NOS-60/15"</f>
        <v>4-15/NOS-60/15</v>
      </c>
      <c r="D1169" s="2" t="s">
        <v>28</v>
      </c>
      <c r="E1169" s="2" t="s">
        <v>1250</v>
      </c>
      <c r="F1169" s="2" t="s">
        <v>157</v>
      </c>
      <c r="G1169" s="2" t="str">
        <f>"4-15/NOS-60/15"</f>
        <v>4-15/NOS-60/15</v>
      </c>
      <c r="H1169" s="2" t="str">
        <f t="shared" si="29"/>
        <v>Ugovor - narudžbenica (periodični predmet)</v>
      </c>
      <c r="I1169" s="2" t="s">
        <v>19</v>
      </c>
      <c r="J1169" s="3" t="str">
        <f>"4.256,76"</f>
        <v>4.256,76</v>
      </c>
      <c r="K1169" s="2" t="s">
        <v>460</v>
      </c>
      <c r="L1169" s="2" t="s">
        <v>1350</v>
      </c>
      <c r="M1169" s="2" t="s">
        <v>44</v>
      </c>
      <c r="N1169" s="2" t="str">
        <f>"16.12.2015"</f>
        <v>16.12.2015</v>
      </c>
      <c r="O1169" s="3" t="str">
        <f>"4.256,76"</f>
        <v>4.256,76</v>
      </c>
      <c r="P1169" s="4"/>
    </row>
    <row r="1170" spans="2:16" ht="63" x14ac:dyDescent="0.25">
      <c r="B1170" s="2">
        <v>934</v>
      </c>
      <c r="C1170" s="2" t="str">
        <f>"3-15/NOS-54/15"</f>
        <v>3-15/NOS-54/15</v>
      </c>
      <c r="D1170" s="2" t="s">
        <v>28</v>
      </c>
      <c r="E1170" s="2" t="s">
        <v>1250</v>
      </c>
      <c r="F1170" s="2" t="s">
        <v>255</v>
      </c>
      <c r="G1170" s="2" t="str">
        <f>"3-15/NOS-54/15"</f>
        <v>3-15/NOS-54/15</v>
      </c>
      <c r="H1170" s="2" t="str">
        <f t="shared" si="29"/>
        <v>Ugovor - narudžbenica (periodični predmet)</v>
      </c>
      <c r="I1170" s="2" t="s">
        <v>19</v>
      </c>
      <c r="J1170" s="3" t="str">
        <f>"55.620,00"</f>
        <v>55.620,00</v>
      </c>
      <c r="K1170" s="2" t="s">
        <v>460</v>
      </c>
      <c r="L1170" s="2" t="s">
        <v>1341</v>
      </c>
      <c r="M1170" s="2" t="s">
        <v>84</v>
      </c>
      <c r="N1170" s="2" t="str">
        <f>"03.12.2015"</f>
        <v>03.12.2015</v>
      </c>
      <c r="O1170" s="3" t="str">
        <f>"32.700,00"</f>
        <v>32.700,00</v>
      </c>
      <c r="P1170" s="4"/>
    </row>
    <row r="1171" spans="2:16" ht="110.25" x14ac:dyDescent="0.25">
      <c r="B1171" s="2">
        <v>935</v>
      </c>
      <c r="C1171" s="2" t="str">
        <f>"10-15/NOS-24/15"</f>
        <v>10-15/NOS-24/15</v>
      </c>
      <c r="D1171" s="2" t="s">
        <v>304</v>
      </c>
      <c r="E1171" s="2" t="s">
        <v>1250</v>
      </c>
      <c r="F1171" s="2" t="s">
        <v>305</v>
      </c>
      <c r="G1171" s="2" t="str">
        <f>"10-15/NOS-24/15"</f>
        <v>10-15/NOS-24/15</v>
      </c>
      <c r="H1171" s="2" t="str">
        <f t="shared" si="29"/>
        <v>Ugovor - narudžbenica (periodični predmet)</v>
      </c>
      <c r="I1171" s="2" t="s">
        <v>19</v>
      </c>
      <c r="J1171" s="3" t="str">
        <f>"89.687,00"</f>
        <v>89.687,00</v>
      </c>
      <c r="K1171" s="2" t="s">
        <v>460</v>
      </c>
      <c r="L1171" s="2" t="s">
        <v>1341</v>
      </c>
      <c r="M1171" s="2" t="s">
        <v>218</v>
      </c>
      <c r="N1171" s="2" t="str">
        <f>"23.11.2015"</f>
        <v>23.11.2015</v>
      </c>
      <c r="O1171" s="3" t="str">
        <f>"68.937,00"</f>
        <v>68.937,00</v>
      </c>
      <c r="P1171" s="4"/>
    </row>
    <row r="1172" spans="2:16" ht="63" x14ac:dyDescent="0.25">
      <c r="B1172" s="2">
        <v>936</v>
      </c>
      <c r="C1172" s="2" t="str">
        <f>"5-15/NOS-50/12"</f>
        <v>5-15/NOS-50/12</v>
      </c>
      <c r="D1172" s="2" t="s">
        <v>85</v>
      </c>
      <c r="E1172" s="2" t="s">
        <v>1250</v>
      </c>
      <c r="F1172" s="2" t="s">
        <v>1284</v>
      </c>
      <c r="G1172" s="2" t="str">
        <f>"5-15/NOS-50/12"</f>
        <v>5-15/NOS-50/12</v>
      </c>
      <c r="H1172" s="2" t="str">
        <f t="shared" si="29"/>
        <v>Ugovor - narudžbenica (periodični predmet)</v>
      </c>
      <c r="I1172" s="2" t="s">
        <v>19</v>
      </c>
      <c r="J1172" s="3" t="str">
        <f>"23.791,09"</f>
        <v>23.791,09</v>
      </c>
      <c r="K1172" s="2" t="s">
        <v>460</v>
      </c>
      <c r="L1172" s="2" t="s">
        <v>1341</v>
      </c>
      <c r="M1172" s="2" t="s">
        <v>349</v>
      </c>
      <c r="N1172" s="2" t="str">
        <f>"25.09.2015"</f>
        <v>25.09.2015</v>
      </c>
      <c r="O1172" s="3" t="str">
        <f>"14.350,15"</f>
        <v>14.350,15</v>
      </c>
      <c r="P1172" s="4"/>
    </row>
    <row r="1173" spans="2:16" ht="63" x14ac:dyDescent="0.25">
      <c r="B1173" s="2">
        <v>937</v>
      </c>
      <c r="C1173" s="2" t="str">
        <f>"25-15/NOS-89/14"</f>
        <v>25-15/NOS-89/14</v>
      </c>
      <c r="D1173" s="2" t="s">
        <v>28</v>
      </c>
      <c r="E1173" s="2" t="s">
        <v>1250</v>
      </c>
      <c r="F1173" s="2" t="s">
        <v>1277</v>
      </c>
      <c r="G1173" s="2" t="str">
        <f>"25-15/NOS-89/14"</f>
        <v>25-15/NOS-89/14</v>
      </c>
      <c r="H1173" s="2" t="str">
        <f t="shared" si="29"/>
        <v>Ugovor - narudžbenica (periodični predmet)</v>
      </c>
      <c r="I1173" s="2" t="s">
        <v>19</v>
      </c>
      <c r="J1173" s="3" t="str">
        <f>"7.721,05"</f>
        <v>7.721,05</v>
      </c>
      <c r="K1173" s="2" t="s">
        <v>460</v>
      </c>
      <c r="L1173" s="2" t="s">
        <v>1341</v>
      </c>
      <c r="M1173" s="2" t="s">
        <v>868</v>
      </c>
      <c r="N1173" s="2" t="str">
        <f>"05.10.2015"</f>
        <v>05.10.2015</v>
      </c>
      <c r="O1173" s="3" t="str">
        <f>"7.707,36"</f>
        <v>7.707,36</v>
      </c>
      <c r="P1173" s="4"/>
    </row>
    <row r="1174" spans="2:16" ht="63" x14ac:dyDescent="0.25">
      <c r="B1174" s="2">
        <v>938</v>
      </c>
      <c r="C1174" s="2" t="str">
        <f>"10-15/NOS-210-A/13"</f>
        <v>10-15/NOS-210-A/13</v>
      </c>
      <c r="D1174" s="2" t="s">
        <v>85</v>
      </c>
      <c r="E1174" s="2" t="s">
        <v>1250</v>
      </c>
      <c r="F1174" s="2" t="s">
        <v>1294</v>
      </c>
      <c r="G1174" s="2" t="str">
        <f>"10-15/NOS-210-A/13"</f>
        <v>10-15/NOS-210-A/13</v>
      </c>
      <c r="H1174" s="2" t="str">
        <f t="shared" si="29"/>
        <v>Ugovor - narudžbenica (periodični predmet)</v>
      </c>
      <c r="I1174" s="2" t="s">
        <v>19</v>
      </c>
      <c r="J1174" s="3" t="str">
        <f>"18.519,60"</f>
        <v>18.519,60</v>
      </c>
      <c r="K1174" s="2" t="s">
        <v>460</v>
      </c>
      <c r="L1174" s="2" t="s">
        <v>1341</v>
      </c>
      <c r="M1174" s="2" t="s">
        <v>84</v>
      </c>
      <c r="N1174" s="2" t="str">
        <f>"23.11.2015"</f>
        <v>23.11.2015</v>
      </c>
      <c r="O1174" s="3" t="str">
        <f>"18.229,60"</f>
        <v>18.229,60</v>
      </c>
      <c r="P1174" s="4"/>
    </row>
    <row r="1175" spans="2:16" ht="63" x14ac:dyDescent="0.25">
      <c r="B1175" s="2">
        <v>939</v>
      </c>
      <c r="C1175" s="2" t="str">
        <f>"40-15/NOS-216-A/13"</f>
        <v>40-15/NOS-216-A/13</v>
      </c>
      <c r="D1175" s="2" t="s">
        <v>16</v>
      </c>
      <c r="E1175" s="2" t="s">
        <v>1250</v>
      </c>
      <c r="F1175" s="2" t="s">
        <v>1355</v>
      </c>
      <c r="G1175" s="2" t="str">
        <f>"40-15/NOS-216-A/13"</f>
        <v>40-15/NOS-216-A/13</v>
      </c>
      <c r="H1175" s="2" t="str">
        <f t="shared" si="29"/>
        <v>Ugovor - narudžbenica (periodični predmet)</v>
      </c>
      <c r="I1175" s="2" t="s">
        <v>19</v>
      </c>
      <c r="J1175" s="3" t="str">
        <f>"803,72"</f>
        <v>803,72</v>
      </c>
      <c r="K1175" s="2" t="s">
        <v>460</v>
      </c>
      <c r="L1175" s="2" t="s">
        <v>1339</v>
      </c>
      <c r="M1175" s="2" t="s">
        <v>358</v>
      </c>
      <c r="N1175" s="2" t="str">
        <f>"30.09.2015"</f>
        <v>30.09.2015</v>
      </c>
      <c r="O1175" s="3" t="str">
        <f>"803,71"</f>
        <v>803,71</v>
      </c>
      <c r="P1175" s="4"/>
    </row>
    <row r="1176" spans="2:16" ht="63" x14ac:dyDescent="0.25">
      <c r="B1176" s="2">
        <v>940</v>
      </c>
      <c r="C1176" s="2" t="str">
        <f>"19-15/NOS-117/13"</f>
        <v>19-15/NOS-117/13</v>
      </c>
      <c r="D1176" s="2" t="s">
        <v>16</v>
      </c>
      <c r="E1176" s="2" t="s">
        <v>1250</v>
      </c>
      <c r="F1176" s="2" t="s">
        <v>1265</v>
      </c>
      <c r="G1176" s="2" t="str">
        <f>"19-15/NOS-117/13"</f>
        <v>19-15/NOS-117/13</v>
      </c>
      <c r="H1176" s="2" t="str">
        <f t="shared" si="29"/>
        <v>Ugovor - narudžbenica (periodični predmet)</v>
      </c>
      <c r="I1176" s="2" t="s">
        <v>19</v>
      </c>
      <c r="J1176" s="3" t="str">
        <f>"30.700,00"</f>
        <v>30.700,00</v>
      </c>
      <c r="K1176" s="2" t="s">
        <v>460</v>
      </c>
      <c r="L1176" s="2" t="s">
        <v>1356</v>
      </c>
      <c r="M1176" s="2" t="s">
        <v>84</v>
      </c>
      <c r="N1176" s="2" t="str">
        <f>"13.10.2015"</f>
        <v>13.10.2015</v>
      </c>
      <c r="O1176" s="3" t="str">
        <f>"30.700,00"</f>
        <v>30.700,00</v>
      </c>
      <c r="P1176" s="4"/>
    </row>
    <row r="1177" spans="2:16" ht="63" x14ac:dyDescent="0.25">
      <c r="B1177" s="2">
        <v>941</v>
      </c>
      <c r="C1177" s="2" t="str">
        <f>"2-15/NOS-69/15"</f>
        <v>2-15/NOS-69/15</v>
      </c>
      <c r="D1177" s="2" t="s">
        <v>28</v>
      </c>
      <c r="E1177" s="2" t="s">
        <v>1250</v>
      </c>
      <c r="F1177" s="2" t="s">
        <v>268</v>
      </c>
      <c r="G1177" s="2" t="str">
        <f>"2-15/NOS-69/15"</f>
        <v>2-15/NOS-69/15</v>
      </c>
      <c r="H1177" s="2" t="str">
        <f t="shared" si="29"/>
        <v>Ugovor - narudžbenica (periodični predmet)</v>
      </c>
      <c r="I1177" s="2" t="s">
        <v>19</v>
      </c>
      <c r="J1177" s="3" t="str">
        <f>"15.615,70"</f>
        <v>15.615,70</v>
      </c>
      <c r="K1177" s="2" t="s">
        <v>460</v>
      </c>
      <c r="L1177" s="2" t="s">
        <v>1341</v>
      </c>
      <c r="M1177" s="2" t="s">
        <v>270</v>
      </c>
      <c r="N1177" s="2" t="str">
        <f>"13.01.2016"</f>
        <v>13.01.2016</v>
      </c>
      <c r="O1177" s="3" t="str">
        <f>"15.615,70"</f>
        <v>15.615,70</v>
      </c>
      <c r="P1177" s="4"/>
    </row>
    <row r="1178" spans="2:16" ht="63" x14ac:dyDescent="0.25">
      <c r="B1178" s="2">
        <v>942</v>
      </c>
      <c r="C1178" s="2" t="str">
        <f>"22-15/NOS-102/11"</f>
        <v>22-15/NOS-102/11</v>
      </c>
      <c r="D1178" s="2" t="s">
        <v>16</v>
      </c>
      <c r="E1178" s="2" t="s">
        <v>1250</v>
      </c>
      <c r="F1178" s="2" t="s">
        <v>1357</v>
      </c>
      <c r="G1178" s="2" t="str">
        <f>"22-15/NOS-102/11"</f>
        <v>22-15/NOS-102/11</v>
      </c>
      <c r="H1178" s="2" t="str">
        <f t="shared" si="29"/>
        <v>Ugovor - narudžbenica (periodični predmet)</v>
      </c>
      <c r="I1178" s="2" t="s">
        <v>19</v>
      </c>
      <c r="J1178" s="3" t="str">
        <f>"124.079,15"</f>
        <v>124.079,15</v>
      </c>
      <c r="K1178" s="2" t="s">
        <v>1358</v>
      </c>
      <c r="L1178" s="2" t="s">
        <v>1341</v>
      </c>
      <c r="M1178" s="2" t="s">
        <v>454</v>
      </c>
      <c r="N1178" s="2" t="str">
        <f>"22.10.2015"</f>
        <v>22.10.2015</v>
      </c>
      <c r="O1178" s="3" t="str">
        <f>"124.079,15"</f>
        <v>124.079,15</v>
      </c>
      <c r="P1178" s="4"/>
    </row>
    <row r="1179" spans="2:16" ht="63" x14ac:dyDescent="0.25">
      <c r="B1179" s="2">
        <v>943</v>
      </c>
      <c r="C1179" s="2" t="str">
        <f>"18-15/NOS-20/14"</f>
        <v>18-15/NOS-20/14</v>
      </c>
      <c r="D1179" s="2" t="s">
        <v>16</v>
      </c>
      <c r="E1179" s="2" t="s">
        <v>1250</v>
      </c>
      <c r="F1179" s="2" t="s">
        <v>1359</v>
      </c>
      <c r="G1179" s="2" t="str">
        <f>"18-15/NOS-20/14"</f>
        <v>18-15/NOS-20/14</v>
      </c>
      <c r="H1179" s="2" t="str">
        <f t="shared" si="29"/>
        <v>Ugovor - narudžbenica (periodični predmet)</v>
      </c>
      <c r="I1179" s="2" t="s">
        <v>19</v>
      </c>
      <c r="J1179" s="3" t="str">
        <f>"3.345,00"</f>
        <v>3.345,00</v>
      </c>
      <c r="K1179" s="2" t="s">
        <v>456</v>
      </c>
      <c r="L1179" s="2" t="s">
        <v>1341</v>
      </c>
      <c r="M1179" s="2" t="s">
        <v>1360</v>
      </c>
      <c r="N1179" s="2" t="str">
        <f>"17.09.2015"</f>
        <v>17.09.2015</v>
      </c>
      <c r="O1179" s="3" t="str">
        <f>"3.345,00"</f>
        <v>3.345,00</v>
      </c>
      <c r="P1179" s="4"/>
    </row>
    <row r="1180" spans="2:16" ht="63" x14ac:dyDescent="0.25">
      <c r="B1180" s="2">
        <v>944</v>
      </c>
      <c r="C1180" s="2" t="str">
        <f>"3-15/NOS-69/15"</f>
        <v>3-15/NOS-69/15</v>
      </c>
      <c r="D1180" s="2" t="s">
        <v>16</v>
      </c>
      <c r="E1180" s="2" t="s">
        <v>1250</v>
      </c>
      <c r="F1180" s="2" t="s">
        <v>268</v>
      </c>
      <c r="G1180" s="2" t="str">
        <f>"3-15/NOS-69/15"</f>
        <v>3-15/NOS-69/15</v>
      </c>
      <c r="H1180" s="2" t="str">
        <f t="shared" si="29"/>
        <v>Ugovor - narudžbenica (periodični predmet)</v>
      </c>
      <c r="I1180" s="2" t="s">
        <v>19</v>
      </c>
      <c r="J1180" s="3" t="str">
        <f>"4.199,20"</f>
        <v>4.199,20</v>
      </c>
      <c r="K1180" s="2" t="s">
        <v>1076</v>
      </c>
      <c r="L1180" s="2" t="s">
        <v>1341</v>
      </c>
      <c r="M1180" s="2" t="s">
        <v>269</v>
      </c>
      <c r="N1180" s="2" t="str">
        <f>"02.10.2015"</f>
        <v>02.10.2015</v>
      </c>
      <c r="O1180" s="3" t="str">
        <f>"4.199,20"</f>
        <v>4.199,20</v>
      </c>
      <c r="P1180" s="4"/>
    </row>
    <row r="1181" spans="2:16" ht="63" x14ac:dyDescent="0.25">
      <c r="B1181" s="2">
        <v>945</v>
      </c>
      <c r="C1181" s="2" t="str">
        <f>"2-15/NOS-35/15"</f>
        <v>2-15/NOS-35/15</v>
      </c>
      <c r="D1181" s="2" t="s">
        <v>16</v>
      </c>
      <c r="E1181" s="2" t="s">
        <v>1250</v>
      </c>
      <c r="F1181" s="2" t="s">
        <v>243</v>
      </c>
      <c r="G1181" s="2" t="str">
        <f>"2-15/NOS-35/15"</f>
        <v>2-15/NOS-35/15</v>
      </c>
      <c r="H1181" s="2" t="str">
        <f t="shared" si="29"/>
        <v>Ugovor - narudžbenica (periodični predmet)</v>
      </c>
      <c r="I1181" s="2" t="s">
        <v>19</v>
      </c>
      <c r="J1181" s="3" t="str">
        <f>"1.502,50"</f>
        <v>1.502,50</v>
      </c>
      <c r="K1181" s="2" t="s">
        <v>953</v>
      </c>
      <c r="L1181" s="2" t="s">
        <v>1350</v>
      </c>
      <c r="M1181" s="2" t="s">
        <v>246</v>
      </c>
      <c r="N1181" s="2" t="str">
        <f>"21.09.2015"</f>
        <v>21.09.2015</v>
      </c>
      <c r="O1181" s="3" t="str">
        <f>"1.502,50"</f>
        <v>1.502,50</v>
      </c>
      <c r="P1181" s="4"/>
    </row>
    <row r="1182" spans="2:16" ht="63" x14ac:dyDescent="0.25">
      <c r="B1182" s="2">
        <v>947</v>
      </c>
      <c r="C1182" s="2" t="str">
        <f>"4-15/NOS-39/15"</f>
        <v>4-15/NOS-39/15</v>
      </c>
      <c r="D1182" s="2" t="s">
        <v>28</v>
      </c>
      <c r="E1182" s="2" t="s">
        <v>1250</v>
      </c>
      <c r="F1182" s="2" t="s">
        <v>300</v>
      </c>
      <c r="G1182" s="2" t="str">
        <f>"4-15/NOS-39/15"</f>
        <v>4-15/NOS-39/15</v>
      </c>
      <c r="H1182" s="2" t="str">
        <f t="shared" si="29"/>
        <v>Ugovor - narudžbenica (periodični predmet)</v>
      </c>
      <c r="I1182" s="2" t="s">
        <v>19</v>
      </c>
      <c r="J1182" s="3" t="str">
        <f>"9.313,50"</f>
        <v>9.313,50</v>
      </c>
      <c r="K1182" s="2" t="s">
        <v>953</v>
      </c>
      <c r="L1182" s="2" t="s">
        <v>1350</v>
      </c>
      <c r="M1182" s="2" t="s">
        <v>303</v>
      </c>
      <c r="N1182" s="2" t="str">
        <f>"23.10.2015"</f>
        <v>23.10.2015</v>
      </c>
      <c r="O1182" s="3" t="str">
        <f>"9.210,89"</f>
        <v>9.210,89</v>
      </c>
      <c r="P1182" s="4"/>
    </row>
    <row r="1183" spans="2:16" s="15" customFormat="1" ht="63" x14ac:dyDescent="0.25">
      <c r="B1183" s="12">
        <v>948</v>
      </c>
      <c r="C1183" s="12" t="str">
        <f>"7-15/NOS-40/14"</f>
        <v>7-15/NOS-40/14</v>
      </c>
      <c r="D1183" s="12" t="s">
        <v>16</v>
      </c>
      <c r="E1183" s="12" t="s">
        <v>1250</v>
      </c>
      <c r="F1183" s="12" t="s">
        <v>1210</v>
      </c>
      <c r="G1183" s="12" t="str">
        <f>"7-15/NOS-40/14"</f>
        <v>7-15/NOS-40/14</v>
      </c>
      <c r="H1183" s="12" t="str">
        <f t="shared" si="29"/>
        <v>Ugovor - narudžbenica (periodični predmet)</v>
      </c>
      <c r="I1183" s="12" t="s">
        <v>19</v>
      </c>
      <c r="J1183" s="13" t="str">
        <f>"8.568,38"</f>
        <v>8.568,38</v>
      </c>
      <c r="K1183" s="12" t="s">
        <v>953</v>
      </c>
      <c r="L1183" s="12" t="s">
        <v>1350</v>
      </c>
      <c r="M1183" s="12" t="s">
        <v>805</v>
      </c>
      <c r="N1183" s="12" t="s">
        <v>23</v>
      </c>
      <c r="O1183" s="13" t="str">
        <f>"0,00"</f>
        <v>0,00</v>
      </c>
      <c r="P1183" s="14"/>
    </row>
    <row r="1184" spans="2:16" ht="63" x14ac:dyDescent="0.25">
      <c r="B1184" s="2">
        <v>949</v>
      </c>
      <c r="C1184" s="2" t="str">
        <f>"34-15/NOS-29/12"</f>
        <v>34-15/NOS-29/12</v>
      </c>
      <c r="D1184" s="2" t="s">
        <v>85</v>
      </c>
      <c r="E1184" s="2" t="s">
        <v>1250</v>
      </c>
      <c r="F1184" s="2" t="s">
        <v>1269</v>
      </c>
      <c r="G1184" s="2" t="str">
        <f>"34-15/NOS-29/12"</f>
        <v>34-15/NOS-29/12</v>
      </c>
      <c r="H1184" s="2" t="str">
        <f t="shared" si="29"/>
        <v>Ugovor - narudžbenica (periodični predmet)</v>
      </c>
      <c r="I1184" s="2" t="s">
        <v>19</v>
      </c>
      <c r="J1184" s="3" t="str">
        <f>"54.312,80"</f>
        <v>54.312,80</v>
      </c>
      <c r="K1184" s="2" t="s">
        <v>953</v>
      </c>
      <c r="L1184" s="2" t="s">
        <v>1125</v>
      </c>
      <c r="M1184" s="2" t="s">
        <v>1201</v>
      </c>
      <c r="N1184" s="2" t="str">
        <f>"29.10.2015"</f>
        <v>29.10.2015</v>
      </c>
      <c r="O1184" s="3" t="str">
        <f>"54.312,80"</f>
        <v>54.312,80</v>
      </c>
      <c r="P1184" s="4"/>
    </row>
    <row r="1185" spans="2:16" ht="63" x14ac:dyDescent="0.25">
      <c r="B1185" s="2">
        <v>950</v>
      </c>
      <c r="C1185" s="2" t="str">
        <f>"12-15/NOS-56/14"</f>
        <v>12-15/NOS-56/14</v>
      </c>
      <c r="D1185" s="2" t="s">
        <v>28</v>
      </c>
      <c r="E1185" s="2" t="s">
        <v>1250</v>
      </c>
      <c r="F1185" s="2" t="s">
        <v>1286</v>
      </c>
      <c r="G1185" s="2" t="str">
        <f>"12-15/NOS-56/14"</f>
        <v>12-15/NOS-56/14</v>
      </c>
      <c r="H1185" s="2" t="str">
        <f t="shared" si="29"/>
        <v>Ugovor - narudžbenica (periodični predmet)</v>
      </c>
      <c r="I1185" s="2" t="s">
        <v>19</v>
      </c>
      <c r="J1185" s="3" t="str">
        <f>"3.539,00"</f>
        <v>3.539,00</v>
      </c>
      <c r="K1185" s="2" t="s">
        <v>953</v>
      </c>
      <c r="L1185" s="2" t="s">
        <v>1350</v>
      </c>
      <c r="M1185" s="2" t="s">
        <v>715</v>
      </c>
      <c r="N1185" s="2" t="str">
        <f>"22.10.2015"</f>
        <v>22.10.2015</v>
      </c>
      <c r="O1185" s="3" t="str">
        <f>"3.539,00"</f>
        <v>3.539,00</v>
      </c>
      <c r="P1185" s="4"/>
    </row>
    <row r="1186" spans="2:16" ht="63" x14ac:dyDescent="0.25">
      <c r="B1186" s="2">
        <v>951</v>
      </c>
      <c r="C1186" s="2" t="str">
        <f>"3-15/NOS-67/15"</f>
        <v>3-15/NOS-67/15</v>
      </c>
      <c r="D1186" s="2" t="s">
        <v>28</v>
      </c>
      <c r="E1186" s="2" t="s">
        <v>1250</v>
      </c>
      <c r="F1186" s="2" t="s">
        <v>511</v>
      </c>
      <c r="G1186" s="2" t="str">
        <f>"3-15/NOS-67/15"</f>
        <v>3-15/NOS-67/15</v>
      </c>
      <c r="H1186" s="2" t="str">
        <f t="shared" si="29"/>
        <v>Ugovor - narudžbenica (periodični predmet)</v>
      </c>
      <c r="I1186" s="2" t="s">
        <v>19</v>
      </c>
      <c r="J1186" s="3" t="str">
        <f>"30.990,07"</f>
        <v>30.990,07</v>
      </c>
      <c r="K1186" s="2" t="s">
        <v>953</v>
      </c>
      <c r="L1186" s="2" t="s">
        <v>1350</v>
      </c>
      <c r="M1186" s="2" t="s">
        <v>512</v>
      </c>
      <c r="N1186" s="2" t="str">
        <f>"22.10.2015"</f>
        <v>22.10.2015</v>
      </c>
      <c r="O1186" s="3" t="str">
        <f>"30.990,07"</f>
        <v>30.990,07</v>
      </c>
      <c r="P1186" s="4"/>
    </row>
    <row r="1187" spans="2:16" s="19" customFormat="1" ht="63" x14ac:dyDescent="0.25">
      <c r="B1187" s="16">
        <v>952</v>
      </c>
      <c r="C1187" s="16" t="str">
        <f>"7-15/NOS-67/14"</f>
        <v>7-15/NOS-67/14</v>
      </c>
      <c r="D1187" s="16" t="s">
        <v>16</v>
      </c>
      <c r="E1187" s="16" t="s">
        <v>1250</v>
      </c>
      <c r="F1187" s="16" t="s">
        <v>1314</v>
      </c>
      <c r="G1187" s="16" t="str">
        <f>"7-15/NOS-67/14"</f>
        <v>7-15/NOS-67/14</v>
      </c>
      <c r="H1187" s="16" t="str">
        <f t="shared" si="29"/>
        <v>Ugovor - narudžbenica (periodični predmet)</v>
      </c>
      <c r="I1187" s="16" t="s">
        <v>19</v>
      </c>
      <c r="J1187" s="17" t="str">
        <f>"10.638,42"</f>
        <v>10.638,42</v>
      </c>
      <c r="K1187" s="16" t="s">
        <v>953</v>
      </c>
      <c r="L1187" s="16" t="s">
        <v>674</v>
      </c>
      <c r="M1187" s="16" t="s">
        <v>44</v>
      </c>
      <c r="N1187" s="16" t="str">
        <f>"29.09.2015"</f>
        <v>29.09.2015</v>
      </c>
      <c r="O1187" s="17" t="str">
        <f>"10.647,07"</f>
        <v>10.647,07</v>
      </c>
      <c r="P1187" s="16" t="s">
        <v>699</v>
      </c>
    </row>
    <row r="1188" spans="2:16" ht="63" x14ac:dyDescent="0.25">
      <c r="B1188" s="2">
        <v>953</v>
      </c>
      <c r="C1188" s="2" t="str">
        <f>"5-15/NOS-70/14"</f>
        <v>5-15/NOS-70/14</v>
      </c>
      <c r="D1188" s="2" t="s">
        <v>16</v>
      </c>
      <c r="E1188" s="2" t="s">
        <v>1250</v>
      </c>
      <c r="F1188" s="2" t="s">
        <v>1287</v>
      </c>
      <c r="G1188" s="2" t="str">
        <f>"5-15/NOS-70/14"</f>
        <v>5-15/NOS-70/14</v>
      </c>
      <c r="H1188" s="2" t="str">
        <f t="shared" si="29"/>
        <v>Ugovor - narudžbenica (periodični predmet)</v>
      </c>
      <c r="I1188" s="2" t="s">
        <v>19</v>
      </c>
      <c r="J1188" s="3" t="str">
        <f>"21.500,00"</f>
        <v>21.500,00</v>
      </c>
      <c r="K1188" s="2" t="s">
        <v>953</v>
      </c>
      <c r="L1188" s="2" t="s">
        <v>1350</v>
      </c>
      <c r="M1188" s="2" t="s">
        <v>897</v>
      </c>
      <c r="N1188" s="2" t="str">
        <f>"05.10.2015"</f>
        <v>05.10.2015</v>
      </c>
      <c r="O1188" s="3" t="str">
        <f>"21.500,00"</f>
        <v>21.500,00</v>
      </c>
      <c r="P1188" s="4"/>
    </row>
    <row r="1189" spans="2:16" ht="63" x14ac:dyDescent="0.25">
      <c r="B1189" s="2">
        <v>954</v>
      </c>
      <c r="C1189" s="2" t="str">
        <f>"1-15/NOS-71/15"</f>
        <v>1-15/NOS-71/15</v>
      </c>
      <c r="D1189" s="2" t="s">
        <v>16</v>
      </c>
      <c r="E1189" s="2" t="s">
        <v>1250</v>
      </c>
      <c r="F1189" s="2" t="s">
        <v>575</v>
      </c>
      <c r="G1189" s="2" t="str">
        <f>"1-15/NOS-71/15"</f>
        <v>1-15/NOS-71/15</v>
      </c>
      <c r="H1189" s="2" t="str">
        <f t="shared" si="29"/>
        <v>Ugovor - narudžbenica (periodični predmet)</v>
      </c>
      <c r="I1189" s="2" t="s">
        <v>19</v>
      </c>
      <c r="J1189" s="3" t="str">
        <f>"29.579,22"</f>
        <v>29.579,22</v>
      </c>
      <c r="K1189" s="2" t="s">
        <v>953</v>
      </c>
      <c r="L1189" s="2" t="s">
        <v>1350</v>
      </c>
      <c r="M1189" s="2" t="s">
        <v>576</v>
      </c>
      <c r="N1189" s="2" t="str">
        <f>"20.10.2015"</f>
        <v>20.10.2015</v>
      </c>
      <c r="O1189" s="3" t="str">
        <f>"29.579,22"</f>
        <v>29.579,22</v>
      </c>
      <c r="P1189" s="4"/>
    </row>
    <row r="1190" spans="2:16" ht="63" x14ac:dyDescent="0.25">
      <c r="B1190" s="2">
        <v>955</v>
      </c>
      <c r="C1190" s="2" t="str">
        <f>"1-15/NOS-75-E/15"</f>
        <v>1-15/NOS-75-E/15</v>
      </c>
      <c r="D1190" s="2" t="s">
        <v>16</v>
      </c>
      <c r="E1190" s="2" t="s">
        <v>1250</v>
      </c>
      <c r="F1190" s="2" t="s">
        <v>1337</v>
      </c>
      <c r="G1190" s="2" t="str">
        <f>"1-15/NOS-75-E/15"</f>
        <v>1-15/NOS-75-E/15</v>
      </c>
      <c r="H1190" s="2" t="str">
        <f t="shared" si="29"/>
        <v>Ugovor - narudžbenica (periodični predmet)</v>
      </c>
      <c r="I1190" s="2" t="s">
        <v>19</v>
      </c>
      <c r="J1190" s="3" t="str">
        <f>"153,00"</f>
        <v>153,00</v>
      </c>
      <c r="K1190" s="2" t="s">
        <v>1087</v>
      </c>
      <c r="L1190" s="2" t="s">
        <v>674</v>
      </c>
      <c r="M1190" s="2" t="s">
        <v>649</v>
      </c>
      <c r="N1190" s="2" t="str">
        <f>"19.11.2015"</f>
        <v>19.11.2015</v>
      </c>
      <c r="O1190" s="3" t="str">
        <f>"153,00"</f>
        <v>153,00</v>
      </c>
      <c r="P1190" s="4"/>
    </row>
    <row r="1191" spans="2:16" ht="78.75" x14ac:dyDescent="0.25">
      <c r="B1191" s="2">
        <v>956</v>
      </c>
      <c r="C1191" s="2" t="str">
        <f>"43-15/NOS-53-ZGH/14"</f>
        <v>43-15/NOS-53-ZGH/14</v>
      </c>
      <c r="D1191" s="2" t="s">
        <v>1302</v>
      </c>
      <c r="E1191" s="2" t="s">
        <v>1250</v>
      </c>
      <c r="F1191" s="2" t="s">
        <v>1272</v>
      </c>
      <c r="G1191" s="2" t="str">
        <f>"43-15/NOS-53-ZGH/14"</f>
        <v>43-15/NOS-53-ZGH/14</v>
      </c>
      <c r="H1191" s="2" t="str">
        <f t="shared" si="29"/>
        <v>Ugovor - narudžbenica (periodični predmet)</v>
      </c>
      <c r="I1191" s="2" t="s">
        <v>19</v>
      </c>
      <c r="J1191" s="3" t="str">
        <f>"60.970,52"</f>
        <v>60.970,52</v>
      </c>
      <c r="K1191" s="2" t="s">
        <v>1087</v>
      </c>
      <c r="L1191" s="2" t="s">
        <v>1341</v>
      </c>
      <c r="M1191" s="2" t="s">
        <v>711</v>
      </c>
      <c r="N1191" s="2" t="str">
        <f>"23.11.2015"</f>
        <v>23.11.2015</v>
      </c>
      <c r="O1191" s="3" t="str">
        <f>"59.524,62"</f>
        <v>59.524,62</v>
      </c>
      <c r="P1191" s="4"/>
    </row>
    <row r="1192" spans="2:16" ht="63" x14ac:dyDescent="0.25">
      <c r="B1192" s="2">
        <v>957</v>
      </c>
      <c r="C1192" s="2" t="str">
        <f>"2-15/NOS-75-F/15"</f>
        <v>2-15/NOS-75-F/15</v>
      </c>
      <c r="D1192" s="2" t="s">
        <v>16</v>
      </c>
      <c r="E1192" s="2" t="s">
        <v>1250</v>
      </c>
      <c r="F1192" s="2" t="s">
        <v>1337</v>
      </c>
      <c r="G1192" s="2" t="str">
        <f>"2-15/NOS-75-F/15"</f>
        <v>2-15/NOS-75-F/15</v>
      </c>
      <c r="H1192" s="2" t="str">
        <f t="shared" si="29"/>
        <v>Ugovor - narudžbenica (periodični predmet)</v>
      </c>
      <c r="I1192" s="2" t="s">
        <v>19</v>
      </c>
      <c r="J1192" s="3" t="str">
        <f>"16.476,00"</f>
        <v>16.476,00</v>
      </c>
      <c r="K1192" s="2" t="s">
        <v>1087</v>
      </c>
      <c r="L1192" s="2" t="s">
        <v>674</v>
      </c>
      <c r="M1192" s="2" t="s">
        <v>218</v>
      </c>
      <c r="N1192" s="2" t="str">
        <f>"12.11.2015"</f>
        <v>12.11.2015</v>
      </c>
      <c r="O1192" s="3" t="str">
        <f>"16.476,00"</f>
        <v>16.476,00</v>
      </c>
      <c r="P1192" s="4"/>
    </row>
    <row r="1193" spans="2:16" s="19" customFormat="1" ht="63" x14ac:dyDescent="0.25">
      <c r="B1193" s="16">
        <v>958</v>
      </c>
      <c r="C1193" s="16" t="str">
        <f>"4-15/NOS-75-A/15"</f>
        <v>4-15/NOS-75-A/15</v>
      </c>
      <c r="D1193" s="16" t="s">
        <v>16</v>
      </c>
      <c r="E1193" s="16" t="s">
        <v>1250</v>
      </c>
      <c r="F1193" s="16" t="s">
        <v>1337</v>
      </c>
      <c r="G1193" s="16" t="str">
        <f>"4-15/NOS-75-A/15"</f>
        <v>4-15/NOS-75-A/15</v>
      </c>
      <c r="H1193" s="16" t="str">
        <f t="shared" si="29"/>
        <v>Ugovor - narudžbenica (periodični predmet)</v>
      </c>
      <c r="I1193" s="16" t="s">
        <v>19</v>
      </c>
      <c r="J1193" s="17" t="str">
        <f>"265.404,00"</f>
        <v>265.404,00</v>
      </c>
      <c r="K1193" s="16" t="s">
        <v>1087</v>
      </c>
      <c r="L1193" s="16" t="s">
        <v>674</v>
      </c>
      <c r="M1193" s="16" t="s">
        <v>218</v>
      </c>
      <c r="N1193" s="16" t="str">
        <f>"12.01.2016"</f>
        <v>12.01.2016</v>
      </c>
      <c r="O1193" s="17" t="str">
        <f>"271.104,00"</f>
        <v>271.104,00</v>
      </c>
      <c r="P1193" s="16" t="s">
        <v>699</v>
      </c>
    </row>
    <row r="1194" spans="2:16" ht="63" x14ac:dyDescent="0.25">
      <c r="B1194" s="2">
        <v>959</v>
      </c>
      <c r="C1194" s="2" t="str">
        <f>"2-15/NOS-83-A/15"</f>
        <v>2-15/NOS-83-A/15</v>
      </c>
      <c r="D1194" s="2" t="s">
        <v>16</v>
      </c>
      <c r="E1194" s="2" t="s">
        <v>1250</v>
      </c>
      <c r="F1194" s="2" t="s">
        <v>1340</v>
      </c>
      <c r="G1194" s="2" t="str">
        <f>"2-15/NOS-83-A/15"</f>
        <v>2-15/NOS-83-A/15</v>
      </c>
      <c r="H1194" s="2" t="str">
        <f t="shared" si="29"/>
        <v>Ugovor - narudžbenica (periodični predmet)</v>
      </c>
      <c r="I1194" s="2" t="s">
        <v>19</v>
      </c>
      <c r="J1194" s="3" t="str">
        <f>"2.886,00"</f>
        <v>2.886,00</v>
      </c>
      <c r="K1194" s="2" t="s">
        <v>1087</v>
      </c>
      <c r="L1194" s="2" t="s">
        <v>1350</v>
      </c>
      <c r="M1194" s="2" t="s">
        <v>61</v>
      </c>
      <c r="N1194" s="2" t="str">
        <f>"27.10.2015"</f>
        <v>27.10.2015</v>
      </c>
      <c r="O1194" s="3" t="str">
        <f>"2.544,00"</f>
        <v>2.544,00</v>
      </c>
      <c r="P1194" s="4"/>
    </row>
    <row r="1195" spans="2:16" ht="63" x14ac:dyDescent="0.25">
      <c r="B1195" s="2">
        <v>960</v>
      </c>
      <c r="C1195" s="2" t="str">
        <f>"1-15/NOS-75-G/15"</f>
        <v>1-15/NOS-75-G/15</v>
      </c>
      <c r="D1195" s="2" t="s">
        <v>188</v>
      </c>
      <c r="E1195" s="2" t="s">
        <v>1250</v>
      </c>
      <c r="F1195" s="2" t="s">
        <v>1337</v>
      </c>
      <c r="G1195" s="2" t="str">
        <f>"1-15/NOS-75-G/15"</f>
        <v>1-15/NOS-75-G/15</v>
      </c>
      <c r="H1195" s="2" t="str">
        <f t="shared" si="29"/>
        <v>Ugovor - narudžbenica (periodični predmet)</v>
      </c>
      <c r="I1195" s="2" t="s">
        <v>19</v>
      </c>
      <c r="J1195" s="3" t="str">
        <f>"2.207,60"</f>
        <v>2.207,60</v>
      </c>
      <c r="K1195" s="2" t="s">
        <v>1087</v>
      </c>
      <c r="L1195" s="2" t="s">
        <v>1121</v>
      </c>
      <c r="M1195" s="2" t="s">
        <v>677</v>
      </c>
      <c r="N1195" s="2" t="str">
        <f>"20.10.2015"</f>
        <v>20.10.2015</v>
      </c>
      <c r="O1195" s="3" t="str">
        <f>"2.207,60"</f>
        <v>2.207,60</v>
      </c>
      <c r="P1195" s="4"/>
    </row>
    <row r="1196" spans="2:16" ht="63" x14ac:dyDescent="0.25">
      <c r="B1196" s="2">
        <v>961</v>
      </c>
      <c r="C1196" s="2" t="str">
        <f>"44-15/NOS-53-ZGH/14"</f>
        <v>44-15/NOS-53-ZGH/14</v>
      </c>
      <c r="D1196" s="2" t="s">
        <v>16</v>
      </c>
      <c r="E1196" s="2" t="s">
        <v>1250</v>
      </c>
      <c r="F1196" s="2" t="s">
        <v>1272</v>
      </c>
      <c r="G1196" s="2" t="str">
        <f>"44-15/NOS-53-ZGH/14"</f>
        <v>44-15/NOS-53-ZGH/14</v>
      </c>
      <c r="H1196" s="2" t="str">
        <f t="shared" si="29"/>
        <v>Ugovor - narudžbenica (periodični predmet)</v>
      </c>
      <c r="I1196" s="2" t="s">
        <v>19</v>
      </c>
      <c r="J1196" s="3" t="str">
        <f>"56.641,23"</f>
        <v>56.641,23</v>
      </c>
      <c r="K1196" s="2" t="s">
        <v>1087</v>
      </c>
      <c r="L1196" s="2" t="s">
        <v>1341</v>
      </c>
      <c r="M1196" s="2" t="s">
        <v>711</v>
      </c>
      <c r="N1196" s="2" t="str">
        <f>"19.10.2015"</f>
        <v>19.10.2015</v>
      </c>
      <c r="O1196" s="3" t="str">
        <f>"56.619,31"</f>
        <v>56.619,31</v>
      </c>
      <c r="P1196" s="4"/>
    </row>
    <row r="1197" spans="2:16" ht="63" x14ac:dyDescent="0.25">
      <c r="B1197" s="2">
        <v>962</v>
      </c>
      <c r="C1197" s="2" t="str">
        <f>"1-15/NOS-70-B/15"</f>
        <v>1-15/NOS-70-B/15</v>
      </c>
      <c r="D1197" s="2" t="s">
        <v>85</v>
      </c>
      <c r="E1197" s="2" t="s">
        <v>1250</v>
      </c>
      <c r="F1197" s="2" t="s">
        <v>1342</v>
      </c>
      <c r="G1197" s="2" t="str">
        <f>"1-15/NOS-70-B/15"</f>
        <v>1-15/NOS-70-B/15</v>
      </c>
      <c r="H1197" s="2" t="str">
        <f t="shared" si="29"/>
        <v>Ugovor - narudžbenica (periodični predmet)</v>
      </c>
      <c r="I1197" s="2" t="s">
        <v>19</v>
      </c>
      <c r="J1197" s="3" t="str">
        <f>"9.015,90"</f>
        <v>9.015,90</v>
      </c>
      <c r="K1197" s="2" t="s">
        <v>953</v>
      </c>
      <c r="L1197" s="2" t="s">
        <v>1121</v>
      </c>
      <c r="M1197" s="2" t="s">
        <v>508</v>
      </c>
      <c r="N1197" s="2" t="str">
        <f>"23.10.2015"</f>
        <v>23.10.2015</v>
      </c>
      <c r="O1197" s="3" t="str">
        <f>"6.966,40"</f>
        <v>6.966,40</v>
      </c>
      <c r="P1197" s="4"/>
    </row>
    <row r="1198" spans="2:16" ht="63" x14ac:dyDescent="0.25">
      <c r="B1198" s="2">
        <v>963</v>
      </c>
      <c r="C1198" s="2" t="str">
        <f>"19-15/NOS-83/14"</f>
        <v>19-15/NOS-83/14</v>
      </c>
      <c r="D1198" s="2" t="s">
        <v>28</v>
      </c>
      <c r="E1198" s="2" t="s">
        <v>1250</v>
      </c>
      <c r="F1198" s="2" t="s">
        <v>1273</v>
      </c>
      <c r="G1198" s="2" t="str">
        <f>"19-15/NOS-83/14"</f>
        <v>19-15/NOS-83/14</v>
      </c>
      <c r="H1198" s="2" t="str">
        <f t="shared" si="29"/>
        <v>Ugovor - narudžbenica (periodični predmet)</v>
      </c>
      <c r="I1198" s="2" t="s">
        <v>19</v>
      </c>
      <c r="J1198" s="3" t="str">
        <f>"6.791,00"</f>
        <v>6.791,00</v>
      </c>
      <c r="K1198" s="2" t="s">
        <v>1341</v>
      </c>
      <c r="L1198" s="2" t="s">
        <v>1350</v>
      </c>
      <c r="M1198" s="2" t="s">
        <v>754</v>
      </c>
      <c r="N1198" s="2" t="str">
        <f>"16.11.2015"</f>
        <v>16.11.2015</v>
      </c>
      <c r="O1198" s="3" t="str">
        <f>"6.791,00"</f>
        <v>6.791,00</v>
      </c>
      <c r="P1198" s="4"/>
    </row>
    <row r="1199" spans="2:16" ht="63" x14ac:dyDescent="0.25">
      <c r="B1199" s="2">
        <v>964</v>
      </c>
      <c r="C1199" s="2" t="str">
        <f>"26-15/NOS-89/14"</f>
        <v>26-15/NOS-89/14</v>
      </c>
      <c r="D1199" s="2" t="s">
        <v>188</v>
      </c>
      <c r="E1199" s="2" t="s">
        <v>1250</v>
      </c>
      <c r="F1199" s="2" t="s">
        <v>1277</v>
      </c>
      <c r="G1199" s="2" t="str">
        <f>"26-15/NOS-89/14"</f>
        <v>26-15/NOS-89/14</v>
      </c>
      <c r="H1199" s="2" t="str">
        <f t="shared" si="29"/>
        <v>Ugovor - narudžbenica (periodični predmet)</v>
      </c>
      <c r="I1199" s="2" t="s">
        <v>19</v>
      </c>
      <c r="J1199" s="3" t="str">
        <f>"1.691,88"</f>
        <v>1.691,88</v>
      </c>
      <c r="K1199" s="2" t="s">
        <v>1341</v>
      </c>
      <c r="L1199" s="2" t="s">
        <v>674</v>
      </c>
      <c r="M1199" s="2" t="s">
        <v>868</v>
      </c>
      <c r="N1199" s="2" t="str">
        <f>"07.10.2015"</f>
        <v>07.10.2015</v>
      </c>
      <c r="O1199" s="3" t="str">
        <f>"1.625,14"</f>
        <v>1.625,14</v>
      </c>
      <c r="P1199" s="4"/>
    </row>
    <row r="1200" spans="2:16" ht="63" x14ac:dyDescent="0.25">
      <c r="B1200" s="2">
        <v>965</v>
      </c>
      <c r="C1200" s="2" t="str">
        <f>"60-15/NOS-136/13"</f>
        <v>60-15/NOS-136/13</v>
      </c>
      <c r="D1200" s="2" t="s">
        <v>28</v>
      </c>
      <c r="E1200" s="2" t="s">
        <v>1250</v>
      </c>
      <c r="F1200" s="2" t="s">
        <v>536</v>
      </c>
      <c r="G1200" s="2" t="str">
        <f>"60-15/NOS-136/13"</f>
        <v>60-15/NOS-136/13</v>
      </c>
      <c r="H1200" s="2" t="str">
        <f t="shared" si="29"/>
        <v>Ugovor - narudžbenica (periodični predmet)</v>
      </c>
      <c r="I1200" s="2" t="s">
        <v>19</v>
      </c>
      <c r="J1200" s="3" t="str">
        <f>"24.040,00"</f>
        <v>24.040,00</v>
      </c>
      <c r="K1200" s="2" t="s">
        <v>1341</v>
      </c>
      <c r="L1200" s="2" t="s">
        <v>1350</v>
      </c>
      <c r="M1200" s="2" t="s">
        <v>84</v>
      </c>
      <c r="N1200" s="2" t="str">
        <f>"16.11.2015"</f>
        <v>16.11.2015</v>
      </c>
      <c r="O1200" s="3" t="str">
        <f>"23.194,00"</f>
        <v>23.194,00</v>
      </c>
      <c r="P1200" s="4"/>
    </row>
    <row r="1201" spans="2:16" ht="63" x14ac:dyDescent="0.25">
      <c r="B1201" s="2">
        <v>966</v>
      </c>
      <c r="C1201" s="2" t="str">
        <f>"10-15/NOS-183/13"</f>
        <v>10-15/NOS-183/13</v>
      </c>
      <c r="D1201" s="2" t="s">
        <v>28</v>
      </c>
      <c r="E1201" s="2" t="s">
        <v>1250</v>
      </c>
      <c r="F1201" s="2" t="s">
        <v>1292</v>
      </c>
      <c r="G1201" s="2" t="str">
        <f>"10-15/NOS-183/13"</f>
        <v>10-15/NOS-183/13</v>
      </c>
      <c r="H1201" s="2" t="str">
        <f t="shared" si="29"/>
        <v>Ugovor - narudžbenica (periodični predmet)</v>
      </c>
      <c r="I1201" s="2" t="s">
        <v>19</v>
      </c>
      <c r="J1201" s="3" t="str">
        <f>"8.647,00"</f>
        <v>8.647,00</v>
      </c>
      <c r="K1201" s="2" t="s">
        <v>1341</v>
      </c>
      <c r="L1201" s="2" t="s">
        <v>1350</v>
      </c>
      <c r="M1201" s="2" t="s">
        <v>1293</v>
      </c>
      <c r="N1201" s="2" t="str">
        <f>"05.10.2015"</f>
        <v>05.10.2015</v>
      </c>
      <c r="O1201" s="3" t="str">
        <f>"8.647,00"</f>
        <v>8.647,00</v>
      </c>
      <c r="P1201" s="4"/>
    </row>
    <row r="1202" spans="2:16" ht="63" x14ac:dyDescent="0.25">
      <c r="B1202" s="2">
        <v>967</v>
      </c>
      <c r="C1202" s="2" t="str">
        <f>"15-15/NOS-205/13"</f>
        <v>15-15/NOS-205/13</v>
      </c>
      <c r="D1202" s="2" t="s">
        <v>16</v>
      </c>
      <c r="E1202" s="2" t="s">
        <v>1250</v>
      </c>
      <c r="F1202" s="2" t="s">
        <v>1290</v>
      </c>
      <c r="G1202" s="2" t="str">
        <f>"15-15/NOS-205/13"</f>
        <v>15-15/NOS-205/13</v>
      </c>
      <c r="H1202" s="2" t="str">
        <f t="shared" si="29"/>
        <v>Ugovor - narudžbenica (periodični predmet)</v>
      </c>
      <c r="I1202" s="2" t="s">
        <v>19</v>
      </c>
      <c r="J1202" s="3" t="str">
        <f>"325,00"</f>
        <v>325,00</v>
      </c>
      <c r="K1202" s="2" t="s">
        <v>1341</v>
      </c>
      <c r="L1202" s="2" t="s">
        <v>1350</v>
      </c>
      <c r="M1202" s="2" t="s">
        <v>84</v>
      </c>
      <c r="N1202" s="2" t="str">
        <f>"29.10.2015"</f>
        <v>29.10.2015</v>
      </c>
      <c r="O1202" s="3" t="str">
        <f>"325,00"</f>
        <v>325,00</v>
      </c>
      <c r="P1202" s="4"/>
    </row>
    <row r="1203" spans="2:16" ht="63" x14ac:dyDescent="0.25">
      <c r="B1203" s="2">
        <v>968</v>
      </c>
      <c r="C1203" s="2" t="str">
        <f>"5-15/NOS-210-D/13"</f>
        <v>5-15/NOS-210-D/13</v>
      </c>
      <c r="D1203" s="2" t="s">
        <v>85</v>
      </c>
      <c r="E1203" s="2" t="s">
        <v>1250</v>
      </c>
      <c r="F1203" s="2" t="s">
        <v>1294</v>
      </c>
      <c r="G1203" s="2" t="str">
        <f>"5-15/NOS-210-D/13"</f>
        <v>5-15/NOS-210-D/13</v>
      </c>
      <c r="H1203" s="2" t="str">
        <f t="shared" si="29"/>
        <v>Ugovor - narudžbenica (periodični predmet)</v>
      </c>
      <c r="I1203" s="2" t="s">
        <v>19</v>
      </c>
      <c r="J1203" s="3" t="str">
        <f>"11.742,00"</f>
        <v>11.742,00</v>
      </c>
      <c r="K1203" s="2" t="s">
        <v>1341</v>
      </c>
      <c r="L1203" s="2" t="s">
        <v>1350</v>
      </c>
      <c r="M1203" s="2" t="s">
        <v>1293</v>
      </c>
      <c r="N1203" s="2" t="str">
        <f>"16.11.2015"</f>
        <v>16.11.2015</v>
      </c>
      <c r="O1203" s="3" t="str">
        <f>"11.268,00"</f>
        <v>11.268,00</v>
      </c>
      <c r="P1203" s="4"/>
    </row>
    <row r="1204" spans="2:16" ht="63" x14ac:dyDescent="0.25">
      <c r="B1204" s="2">
        <v>969</v>
      </c>
      <c r="C1204" s="2" t="str">
        <f>"11-15/NOS-210-A/13"</f>
        <v>11-15/NOS-210-A/13</v>
      </c>
      <c r="D1204" s="2" t="s">
        <v>85</v>
      </c>
      <c r="E1204" s="2" t="s">
        <v>1250</v>
      </c>
      <c r="F1204" s="2" t="s">
        <v>1294</v>
      </c>
      <c r="G1204" s="2" t="str">
        <f>"11-15/NOS-210-A/13"</f>
        <v>11-15/NOS-210-A/13</v>
      </c>
      <c r="H1204" s="2" t="str">
        <f t="shared" si="29"/>
        <v>Ugovor - narudžbenica (periodični predmet)</v>
      </c>
      <c r="I1204" s="2" t="s">
        <v>19</v>
      </c>
      <c r="J1204" s="3" t="str">
        <f>"15.250,00"</f>
        <v>15.250,00</v>
      </c>
      <c r="K1204" s="2" t="s">
        <v>1341</v>
      </c>
      <c r="L1204" s="2" t="s">
        <v>674</v>
      </c>
      <c r="M1204" s="2" t="s">
        <v>89</v>
      </c>
      <c r="N1204" s="2" t="str">
        <f>"23.11.2015"</f>
        <v>23.11.2015</v>
      </c>
      <c r="O1204" s="3" t="str">
        <f>"15.250,00"</f>
        <v>15.250,00</v>
      </c>
      <c r="P1204" s="4"/>
    </row>
    <row r="1205" spans="2:16" ht="63" x14ac:dyDescent="0.25">
      <c r="B1205" s="2">
        <v>970</v>
      </c>
      <c r="C1205" s="2" t="str">
        <f>"5-15/NOS-90/15"</f>
        <v>5-15/NOS-90/15</v>
      </c>
      <c r="D1205" s="2" t="s">
        <v>85</v>
      </c>
      <c r="E1205" s="2" t="s">
        <v>1250</v>
      </c>
      <c r="F1205" s="2" t="s">
        <v>177</v>
      </c>
      <c r="G1205" s="2" t="str">
        <f>"5-15/NOS-90/15"</f>
        <v>5-15/NOS-90/15</v>
      </c>
      <c r="H1205" s="2" t="str">
        <f t="shared" si="29"/>
        <v>Ugovor - narudžbenica (periodični predmet)</v>
      </c>
      <c r="I1205" s="2" t="s">
        <v>19</v>
      </c>
      <c r="J1205" s="3" t="str">
        <f>"3.594,00"</f>
        <v>3.594,00</v>
      </c>
      <c r="K1205" s="2" t="s">
        <v>1341</v>
      </c>
      <c r="L1205" s="2" t="s">
        <v>674</v>
      </c>
      <c r="M1205" s="2" t="s">
        <v>89</v>
      </c>
      <c r="N1205" s="2" t="str">
        <f>"23.10.2015"</f>
        <v>23.10.2015</v>
      </c>
      <c r="O1205" s="3" t="str">
        <f>"3.594,00"</f>
        <v>3.594,00</v>
      </c>
      <c r="P1205" s="4"/>
    </row>
    <row r="1206" spans="2:16" ht="63" x14ac:dyDescent="0.25">
      <c r="B1206" s="2">
        <v>971</v>
      </c>
      <c r="C1206" s="2" t="str">
        <f>"3-15/NOS-97-B/15"</f>
        <v>3-15/NOS-97-B/15</v>
      </c>
      <c r="D1206" s="2" t="s">
        <v>16</v>
      </c>
      <c r="E1206" s="2" t="s">
        <v>1250</v>
      </c>
      <c r="F1206" s="2" t="s">
        <v>1271</v>
      </c>
      <c r="G1206" s="2" t="str">
        <f>"3-15/NOS-97-B/15"</f>
        <v>3-15/NOS-97-B/15</v>
      </c>
      <c r="H1206" s="2" t="str">
        <f t="shared" si="29"/>
        <v>Ugovor - narudžbenica (periodični predmet)</v>
      </c>
      <c r="I1206" s="2" t="s">
        <v>19</v>
      </c>
      <c r="J1206" s="3" t="str">
        <f>"29.042,80"</f>
        <v>29.042,80</v>
      </c>
      <c r="K1206" s="2" t="s">
        <v>641</v>
      </c>
      <c r="L1206" s="2" t="s">
        <v>674</v>
      </c>
      <c r="M1206" s="2" t="s">
        <v>44</v>
      </c>
      <c r="N1206" s="2" t="str">
        <f>"16.10.2015"</f>
        <v>16.10.2015</v>
      </c>
      <c r="O1206" s="3" t="str">
        <f>"28.097,11"</f>
        <v>28.097,11</v>
      </c>
      <c r="P1206" s="4"/>
    </row>
    <row r="1207" spans="2:16" ht="63" x14ac:dyDescent="0.25">
      <c r="B1207" s="2">
        <v>972</v>
      </c>
      <c r="C1207" s="2" t="str">
        <f>"34-15/NOS-111/13"</f>
        <v>34-15/NOS-111/13</v>
      </c>
      <c r="D1207" s="2" t="s">
        <v>16</v>
      </c>
      <c r="E1207" s="2" t="s">
        <v>1250</v>
      </c>
      <c r="F1207" s="2" t="s">
        <v>1361</v>
      </c>
      <c r="G1207" s="2" t="str">
        <f>"34-15/NOS-111/13"</f>
        <v>34-15/NOS-111/13</v>
      </c>
      <c r="H1207" s="2" t="str">
        <f t="shared" si="29"/>
        <v>Ugovor - narudžbenica (periodični predmet)</v>
      </c>
      <c r="I1207" s="2" t="s">
        <v>19</v>
      </c>
      <c r="J1207" s="3" t="str">
        <f>"576,00"</f>
        <v>576,00</v>
      </c>
      <c r="K1207" s="2" t="s">
        <v>641</v>
      </c>
      <c r="L1207" s="2" t="s">
        <v>1350</v>
      </c>
      <c r="M1207" s="2" t="s">
        <v>1362</v>
      </c>
      <c r="N1207" s="2" t="str">
        <f>"13.11.2015"</f>
        <v>13.11.2015</v>
      </c>
      <c r="O1207" s="3" t="str">
        <f>"576,00"</f>
        <v>576,00</v>
      </c>
      <c r="P1207" s="4"/>
    </row>
    <row r="1208" spans="2:16" ht="63" x14ac:dyDescent="0.25">
      <c r="B1208" s="2">
        <v>973</v>
      </c>
      <c r="C1208" s="2" t="str">
        <f>"1-15/NOS-75-C/15"</f>
        <v>1-15/NOS-75-C/15</v>
      </c>
      <c r="D1208" s="2" t="s">
        <v>16</v>
      </c>
      <c r="E1208" s="2" t="s">
        <v>1250</v>
      </c>
      <c r="F1208" s="2" t="s">
        <v>1337</v>
      </c>
      <c r="G1208" s="2" t="str">
        <f>"1-15/NOS-75-C/15"</f>
        <v>1-15/NOS-75-C/15</v>
      </c>
      <c r="H1208" s="2" t="str">
        <f t="shared" si="29"/>
        <v>Ugovor - narudžbenica (periodični predmet)</v>
      </c>
      <c r="I1208" s="2" t="s">
        <v>19</v>
      </c>
      <c r="J1208" s="3" t="str">
        <f>"2.144,20"</f>
        <v>2.144,20</v>
      </c>
      <c r="K1208" s="2" t="s">
        <v>1092</v>
      </c>
      <c r="L1208" s="2" t="s">
        <v>674</v>
      </c>
      <c r="M1208" s="2" t="s">
        <v>613</v>
      </c>
      <c r="N1208" s="2" t="str">
        <f>"27.11.2015"</f>
        <v>27.11.2015</v>
      </c>
      <c r="O1208" s="3" t="str">
        <f>"2.144,20"</f>
        <v>2.144,20</v>
      </c>
      <c r="P1208" s="4"/>
    </row>
    <row r="1209" spans="2:16" ht="63" x14ac:dyDescent="0.25">
      <c r="B1209" s="2">
        <v>974</v>
      </c>
      <c r="C1209" s="2" t="str">
        <f>"5-15/NOS-39/15"</f>
        <v>5-15/NOS-39/15</v>
      </c>
      <c r="D1209" s="2" t="s">
        <v>16</v>
      </c>
      <c r="E1209" s="2" t="s">
        <v>1250</v>
      </c>
      <c r="F1209" s="2" t="s">
        <v>300</v>
      </c>
      <c r="G1209" s="2" t="str">
        <f>"5-15/NOS-39/15"</f>
        <v>5-15/NOS-39/15</v>
      </c>
      <c r="H1209" s="2" t="str">
        <f t="shared" si="29"/>
        <v>Ugovor - narudžbenica (periodični predmet)</v>
      </c>
      <c r="I1209" s="2" t="s">
        <v>19</v>
      </c>
      <c r="J1209" s="3" t="str">
        <f>"37.763,80"</f>
        <v>37.763,80</v>
      </c>
      <c r="K1209" s="2" t="s">
        <v>1096</v>
      </c>
      <c r="L1209" s="2" t="s">
        <v>1363</v>
      </c>
      <c r="M1209" s="2" t="s">
        <v>303</v>
      </c>
      <c r="N1209" s="2" t="str">
        <f>"12.11.2015"</f>
        <v>12.11.2015</v>
      </c>
      <c r="O1209" s="3" t="str">
        <f>"37.596,28"</f>
        <v>37.596,28</v>
      </c>
      <c r="P1209" s="4"/>
    </row>
    <row r="1210" spans="2:16" ht="63" x14ac:dyDescent="0.25">
      <c r="B1210" s="2">
        <v>975</v>
      </c>
      <c r="C1210" s="2" t="str">
        <f>"6-15/NOS-35/14"</f>
        <v>6-15/NOS-35/14</v>
      </c>
      <c r="D1210" s="2" t="s">
        <v>16</v>
      </c>
      <c r="E1210" s="2" t="s">
        <v>1250</v>
      </c>
      <c r="F1210" s="2" t="s">
        <v>1281</v>
      </c>
      <c r="G1210" s="2" t="str">
        <f>"6-15/NOS-35/14"</f>
        <v>6-15/NOS-35/14</v>
      </c>
      <c r="H1210" s="2" t="str">
        <f t="shared" si="29"/>
        <v>Ugovor - narudžbenica (periodični predmet)</v>
      </c>
      <c r="I1210" s="2" t="s">
        <v>19</v>
      </c>
      <c r="J1210" s="3" t="str">
        <f>"13.200,00"</f>
        <v>13.200,00</v>
      </c>
      <c r="K1210" s="2" t="s">
        <v>1096</v>
      </c>
      <c r="L1210" s="2" t="s">
        <v>1363</v>
      </c>
      <c r="M1210" s="2" t="s">
        <v>957</v>
      </c>
      <c r="N1210" s="2" t="str">
        <f>"11.11.2015"</f>
        <v>11.11.2015</v>
      </c>
      <c r="O1210" s="3" t="str">
        <f>"13.200,00"</f>
        <v>13.200,00</v>
      </c>
      <c r="P1210" s="4"/>
    </row>
    <row r="1211" spans="2:16" ht="63" x14ac:dyDescent="0.25">
      <c r="B1211" s="2">
        <v>976</v>
      </c>
      <c r="C1211" s="2" t="str">
        <f>"53-15/NOS-21/14"</f>
        <v>53-15/NOS-21/14</v>
      </c>
      <c r="D1211" s="2" t="s">
        <v>28</v>
      </c>
      <c r="E1211" s="2" t="s">
        <v>1250</v>
      </c>
      <c r="F1211" s="2" t="s">
        <v>1349</v>
      </c>
      <c r="G1211" s="2" t="str">
        <f>"53-15/NOS-21/14"</f>
        <v>53-15/NOS-21/14</v>
      </c>
      <c r="H1211" s="2" t="str">
        <f t="shared" si="29"/>
        <v>Ugovor - narudžbenica (periodični predmet)</v>
      </c>
      <c r="I1211" s="2" t="s">
        <v>19</v>
      </c>
      <c r="J1211" s="3" t="str">
        <f>"7.551,80"</f>
        <v>7.551,80</v>
      </c>
      <c r="K1211" s="2" t="s">
        <v>1096</v>
      </c>
      <c r="L1211" s="2" t="s">
        <v>1363</v>
      </c>
      <c r="M1211" s="2" t="s">
        <v>944</v>
      </c>
      <c r="N1211" s="2" t="str">
        <f>"28.09.2015"</f>
        <v>28.09.2015</v>
      </c>
      <c r="O1211" s="3" t="str">
        <f>"1.701,60"</f>
        <v>1.701,60</v>
      </c>
      <c r="P1211" s="4"/>
    </row>
    <row r="1212" spans="2:16" ht="63" x14ac:dyDescent="0.25">
      <c r="B1212" s="2">
        <v>977</v>
      </c>
      <c r="C1212" s="2" t="str">
        <f>"11-15/NOS-24/15"</f>
        <v>11-15/NOS-24/15</v>
      </c>
      <c r="D1212" s="2" t="s">
        <v>1313</v>
      </c>
      <c r="E1212" s="2" t="s">
        <v>1250</v>
      </c>
      <c r="F1212" s="2" t="s">
        <v>305</v>
      </c>
      <c r="G1212" s="2" t="str">
        <f>"11-15/NOS-24/15"</f>
        <v>11-15/NOS-24/15</v>
      </c>
      <c r="H1212" s="2" t="str">
        <f t="shared" si="29"/>
        <v>Ugovor - narudžbenica (periodični predmet)</v>
      </c>
      <c r="I1212" s="2" t="s">
        <v>19</v>
      </c>
      <c r="J1212" s="3" t="str">
        <f>"57.700,00"</f>
        <v>57.700,00</v>
      </c>
      <c r="K1212" s="2" t="s">
        <v>1096</v>
      </c>
      <c r="L1212" s="2" t="s">
        <v>1363</v>
      </c>
      <c r="M1212" s="2" t="s">
        <v>218</v>
      </c>
      <c r="N1212" s="2" t="str">
        <f>"22.12.2015"</f>
        <v>22.12.2015</v>
      </c>
      <c r="O1212" s="3" t="str">
        <f>"45.362,50"</f>
        <v>45.362,50</v>
      </c>
      <c r="P1212" s="4"/>
    </row>
    <row r="1213" spans="2:16" ht="63" x14ac:dyDescent="0.25">
      <c r="B1213" s="2">
        <v>978</v>
      </c>
      <c r="C1213" s="2" t="str">
        <f>"1-15/NOS-75-I/15"</f>
        <v>1-15/NOS-75-I/15</v>
      </c>
      <c r="D1213" s="2" t="s">
        <v>16</v>
      </c>
      <c r="E1213" s="2" t="s">
        <v>1250</v>
      </c>
      <c r="F1213" s="2" t="s">
        <v>1337</v>
      </c>
      <c r="G1213" s="2" t="str">
        <f>"1-15/NOS-75-I/15"</f>
        <v>1-15/NOS-75-I/15</v>
      </c>
      <c r="H1213" s="2" t="str">
        <f t="shared" si="29"/>
        <v>Ugovor - narudžbenica (periodični predmet)</v>
      </c>
      <c r="I1213" s="2" t="s">
        <v>19</v>
      </c>
      <c r="J1213" s="3" t="str">
        <f>"50.464,00"</f>
        <v>50.464,00</v>
      </c>
      <c r="K1213" s="2" t="s">
        <v>1096</v>
      </c>
      <c r="L1213" s="2" t="s">
        <v>1363</v>
      </c>
      <c r="M1213" s="2" t="s">
        <v>612</v>
      </c>
      <c r="N1213" s="2" t="str">
        <f>"26.11.2015"</f>
        <v>26.11.2015</v>
      </c>
      <c r="O1213" s="3" t="str">
        <f>"50.464,00"</f>
        <v>50.464,00</v>
      </c>
      <c r="P1213" s="4"/>
    </row>
    <row r="1214" spans="2:16" ht="63" x14ac:dyDescent="0.25">
      <c r="B1214" s="2">
        <v>979</v>
      </c>
      <c r="C1214" s="2" t="str">
        <f>"3-15/NOS-70-A/15"</f>
        <v>3-15/NOS-70-A/15</v>
      </c>
      <c r="D1214" s="2" t="s">
        <v>28</v>
      </c>
      <c r="E1214" s="2" t="s">
        <v>1250</v>
      </c>
      <c r="F1214" s="2" t="s">
        <v>1342</v>
      </c>
      <c r="G1214" s="2" t="str">
        <f>"3-15/NOS-70-A/15"</f>
        <v>3-15/NOS-70-A/15</v>
      </c>
      <c r="H1214" s="2" t="str">
        <f t="shared" si="29"/>
        <v>Ugovor - narudžbenica (periodični predmet)</v>
      </c>
      <c r="I1214" s="2" t="s">
        <v>19</v>
      </c>
      <c r="J1214" s="3" t="str">
        <f>"11.190,80"</f>
        <v>11.190,80</v>
      </c>
      <c r="K1214" s="2" t="s">
        <v>1096</v>
      </c>
      <c r="L1214" s="2" t="s">
        <v>1363</v>
      </c>
      <c r="M1214" s="2" t="s">
        <v>44</v>
      </c>
      <c r="N1214" s="2" t="str">
        <f>"24.12.2015"</f>
        <v>24.12.2015</v>
      </c>
      <c r="O1214" s="3" t="str">
        <f>"11.190,80"</f>
        <v>11.190,80</v>
      </c>
      <c r="P1214" s="4"/>
    </row>
    <row r="1215" spans="2:16" ht="63" x14ac:dyDescent="0.25">
      <c r="B1215" s="2">
        <v>980</v>
      </c>
      <c r="C1215" s="2" t="str">
        <f>"4-15/NOS-54/15"</f>
        <v>4-15/NOS-54/15</v>
      </c>
      <c r="D1215" s="2" t="s">
        <v>16</v>
      </c>
      <c r="E1215" s="2" t="s">
        <v>1250</v>
      </c>
      <c r="F1215" s="2" t="s">
        <v>255</v>
      </c>
      <c r="G1215" s="2" t="str">
        <f>"4-15/NOS-54/15"</f>
        <v>4-15/NOS-54/15</v>
      </c>
      <c r="H1215" s="2" t="str">
        <f t="shared" si="29"/>
        <v>Ugovor - narudžbenica (periodični predmet)</v>
      </c>
      <c r="I1215" s="2" t="s">
        <v>19</v>
      </c>
      <c r="J1215" s="3" t="str">
        <f>"30.320,00"</f>
        <v>30.320,00</v>
      </c>
      <c r="K1215" s="2" t="s">
        <v>1096</v>
      </c>
      <c r="L1215" s="2" t="s">
        <v>1363</v>
      </c>
      <c r="M1215" s="2" t="s">
        <v>259</v>
      </c>
      <c r="N1215" s="2" t="str">
        <f>"22.10.2015"</f>
        <v>22.10.2015</v>
      </c>
      <c r="O1215" s="3" t="str">
        <f>"30.320,00"</f>
        <v>30.320,00</v>
      </c>
      <c r="P1215" s="4"/>
    </row>
    <row r="1216" spans="2:16" ht="63" x14ac:dyDescent="0.25">
      <c r="B1216" s="2">
        <v>981</v>
      </c>
      <c r="C1216" s="2" t="str">
        <f>"2-15/NOS-101-A/15"</f>
        <v>2-15/NOS-101-A/15</v>
      </c>
      <c r="D1216" s="2" t="s">
        <v>16</v>
      </c>
      <c r="E1216" s="2" t="s">
        <v>1250</v>
      </c>
      <c r="F1216" s="2" t="s">
        <v>1352</v>
      </c>
      <c r="G1216" s="2" t="str">
        <f>"2-15/NOS-101-A/15"</f>
        <v>2-15/NOS-101-A/15</v>
      </c>
      <c r="H1216" s="2" t="str">
        <f t="shared" si="29"/>
        <v>Ugovor - narudžbenica (periodični predmet)</v>
      </c>
      <c r="I1216" s="2" t="s">
        <v>19</v>
      </c>
      <c r="J1216" s="3" t="str">
        <f>"82.500,00"</f>
        <v>82.500,00</v>
      </c>
      <c r="K1216" s="2" t="s">
        <v>1051</v>
      </c>
      <c r="L1216" s="2" t="s">
        <v>1363</v>
      </c>
      <c r="M1216" s="2" t="s">
        <v>419</v>
      </c>
      <c r="N1216" s="2" t="str">
        <f>"27.11.2015"</f>
        <v>27.11.2015</v>
      </c>
      <c r="O1216" s="3" t="str">
        <f>"82.500,00"</f>
        <v>82.500,00</v>
      </c>
      <c r="P1216" s="4"/>
    </row>
    <row r="1217" spans="2:16" ht="63" x14ac:dyDescent="0.25">
      <c r="B1217" s="2">
        <v>982</v>
      </c>
      <c r="C1217" s="2" t="str">
        <f>"10-15/NOS-112/14"</f>
        <v>10-15/NOS-112/14</v>
      </c>
      <c r="D1217" s="2" t="s">
        <v>16</v>
      </c>
      <c r="E1217" s="2" t="s">
        <v>1250</v>
      </c>
      <c r="F1217" s="2" t="s">
        <v>77</v>
      </c>
      <c r="G1217" s="2" t="str">
        <f>"10-15/NOS-112/14"</f>
        <v>10-15/NOS-112/14</v>
      </c>
      <c r="H1217" s="2" t="str">
        <f t="shared" si="29"/>
        <v>Ugovor - narudžbenica (periodični predmet)</v>
      </c>
      <c r="I1217" s="2" t="s">
        <v>19</v>
      </c>
      <c r="J1217" s="3" t="str">
        <f>"9.350,00"</f>
        <v>9.350,00</v>
      </c>
      <c r="K1217" s="2" t="s">
        <v>1051</v>
      </c>
      <c r="L1217" s="2" t="s">
        <v>1363</v>
      </c>
      <c r="M1217" s="2" t="s">
        <v>80</v>
      </c>
      <c r="N1217" s="2" t="str">
        <f>"13.10.2015"</f>
        <v>13.10.2015</v>
      </c>
      <c r="O1217" s="3" t="str">
        <f>"9.350,00"</f>
        <v>9.350,00</v>
      </c>
      <c r="P1217" s="4"/>
    </row>
    <row r="1218" spans="2:16" ht="63" x14ac:dyDescent="0.25">
      <c r="B1218" s="2">
        <v>983</v>
      </c>
      <c r="C1218" s="2" t="str">
        <f>"8-15/NOS-118/14"</f>
        <v>8-15/NOS-118/14</v>
      </c>
      <c r="D1218" s="2" t="s">
        <v>85</v>
      </c>
      <c r="E1218" s="2" t="s">
        <v>1250</v>
      </c>
      <c r="F1218" s="2" t="s">
        <v>86</v>
      </c>
      <c r="G1218" s="2" t="str">
        <f>"8-15/NOS-118/14"</f>
        <v>8-15/NOS-118/14</v>
      </c>
      <c r="H1218" s="2" t="str">
        <f t="shared" si="29"/>
        <v>Ugovor - narudžbenica (periodični predmet)</v>
      </c>
      <c r="I1218" s="2" t="s">
        <v>19</v>
      </c>
      <c r="J1218" s="3" t="str">
        <f>"109.995,00"</f>
        <v>109.995,00</v>
      </c>
      <c r="K1218" s="2" t="s">
        <v>1051</v>
      </c>
      <c r="L1218" s="2" t="s">
        <v>1363</v>
      </c>
      <c r="M1218" s="2" t="s">
        <v>89</v>
      </c>
      <c r="N1218" s="2" t="str">
        <f>"22.10.2015"</f>
        <v>22.10.2015</v>
      </c>
      <c r="O1218" s="3" t="str">
        <f>"109.995,00"</f>
        <v>109.995,00</v>
      </c>
      <c r="P1218" s="4"/>
    </row>
    <row r="1219" spans="2:16" ht="63" x14ac:dyDescent="0.25">
      <c r="B1219" s="2">
        <v>984</v>
      </c>
      <c r="C1219" s="2" t="str">
        <f>"11-15/NOS-108/14"</f>
        <v>11-15/NOS-108/14</v>
      </c>
      <c r="D1219" s="2" t="s">
        <v>16</v>
      </c>
      <c r="E1219" s="2" t="s">
        <v>1250</v>
      </c>
      <c r="F1219" s="2" t="s">
        <v>41</v>
      </c>
      <c r="G1219" s="2" t="str">
        <f>"11-15/NOS-108/14"</f>
        <v>11-15/NOS-108/14</v>
      </c>
      <c r="H1219" s="2" t="str">
        <f t="shared" si="29"/>
        <v>Ugovor - narudžbenica (periodični predmet)</v>
      </c>
      <c r="I1219" s="2" t="s">
        <v>19</v>
      </c>
      <c r="J1219" s="3" t="str">
        <f>"36.900,94"</f>
        <v>36.900,94</v>
      </c>
      <c r="K1219" s="2" t="s">
        <v>1051</v>
      </c>
      <c r="L1219" s="2" t="s">
        <v>1363</v>
      </c>
      <c r="M1219" s="2" t="s">
        <v>45</v>
      </c>
      <c r="N1219" s="2" t="str">
        <f>"23.10.2015"</f>
        <v>23.10.2015</v>
      </c>
      <c r="O1219" s="3" t="str">
        <f>"36.900,94"</f>
        <v>36.900,94</v>
      </c>
      <c r="P1219" s="4"/>
    </row>
    <row r="1220" spans="2:16" ht="63" x14ac:dyDescent="0.25">
      <c r="B1220" s="2">
        <v>985</v>
      </c>
      <c r="C1220" s="2" t="str">
        <f>"1-15/NOS-121-A/14"</f>
        <v>1-15/NOS-121-A/14</v>
      </c>
      <c r="D1220" s="2" t="s">
        <v>85</v>
      </c>
      <c r="E1220" s="2" t="s">
        <v>1250</v>
      </c>
      <c r="F1220" s="2" t="s">
        <v>1316</v>
      </c>
      <c r="G1220" s="2" t="str">
        <f>"1-15/NOS-121-A/14"</f>
        <v>1-15/NOS-121-A/14</v>
      </c>
      <c r="H1220" s="2" t="str">
        <f t="shared" si="29"/>
        <v>Ugovor - narudžbenica (periodični predmet)</v>
      </c>
      <c r="I1220" s="2" t="s">
        <v>19</v>
      </c>
      <c r="J1220" s="3" t="str">
        <f>"20.721,50"</f>
        <v>20.721,50</v>
      </c>
      <c r="K1220" s="2" t="s">
        <v>1051</v>
      </c>
      <c r="L1220" s="2" t="s">
        <v>1363</v>
      </c>
      <c r="M1220" s="2" t="s">
        <v>599</v>
      </c>
      <c r="N1220" s="2" t="str">
        <f>"23.10.2015"</f>
        <v>23.10.2015</v>
      </c>
      <c r="O1220" s="3" t="str">
        <f>"20.721,50"</f>
        <v>20.721,50</v>
      </c>
      <c r="P1220" s="4"/>
    </row>
    <row r="1221" spans="2:16" ht="63" x14ac:dyDescent="0.25">
      <c r="B1221" s="2">
        <v>986</v>
      </c>
      <c r="C1221" s="2" t="str">
        <f>"9-15/NOS-121-C/14"</f>
        <v>9-15/NOS-121-C/14</v>
      </c>
      <c r="D1221" s="2" t="s">
        <v>16</v>
      </c>
      <c r="E1221" s="2" t="s">
        <v>1250</v>
      </c>
      <c r="F1221" s="2" t="s">
        <v>1316</v>
      </c>
      <c r="G1221" s="2" t="str">
        <f>"9-15/NOS-121-C/14"</f>
        <v>9-15/NOS-121-C/14</v>
      </c>
      <c r="H1221" s="2" t="str">
        <f t="shared" si="29"/>
        <v>Ugovor - narudžbenica (periodični predmet)</v>
      </c>
      <c r="I1221" s="2" t="s">
        <v>19</v>
      </c>
      <c r="J1221" s="3" t="str">
        <f>"12.636,00"</f>
        <v>12.636,00</v>
      </c>
      <c r="K1221" s="2" t="s">
        <v>1051</v>
      </c>
      <c r="L1221" s="2" t="s">
        <v>1363</v>
      </c>
      <c r="M1221" s="2" t="s">
        <v>599</v>
      </c>
      <c r="N1221" s="2" t="str">
        <f>"20.10.2015"</f>
        <v>20.10.2015</v>
      </c>
      <c r="O1221" s="3" t="str">
        <f>"12.636,00"</f>
        <v>12.636,00</v>
      </c>
      <c r="P1221" s="4"/>
    </row>
    <row r="1222" spans="2:16" ht="63" x14ac:dyDescent="0.25">
      <c r="B1222" s="2">
        <v>987</v>
      </c>
      <c r="C1222" s="2" t="str">
        <f>"35-15/NOS-29/12"</f>
        <v>35-15/NOS-29/12</v>
      </c>
      <c r="D1222" s="2" t="s">
        <v>85</v>
      </c>
      <c r="E1222" s="2" t="s">
        <v>1250</v>
      </c>
      <c r="F1222" s="2" t="s">
        <v>1269</v>
      </c>
      <c r="G1222" s="2" t="str">
        <f>"35-15/NOS-29/12"</f>
        <v>35-15/NOS-29/12</v>
      </c>
      <c r="H1222" s="2" t="str">
        <f t="shared" si="29"/>
        <v>Ugovor - narudžbenica (periodični predmet)</v>
      </c>
      <c r="I1222" s="2" t="s">
        <v>19</v>
      </c>
      <c r="J1222" s="3" t="str">
        <f>"16.888,00"</f>
        <v>16.888,00</v>
      </c>
      <c r="K1222" s="2" t="s">
        <v>1051</v>
      </c>
      <c r="L1222" s="2" t="s">
        <v>468</v>
      </c>
      <c r="M1222" s="2" t="s">
        <v>1299</v>
      </c>
      <c r="N1222" s="2" t="str">
        <f>"27.10.2015"</f>
        <v>27.10.2015</v>
      </c>
      <c r="O1222" s="3" t="str">
        <f>"16.888,00"</f>
        <v>16.888,00</v>
      </c>
      <c r="P1222" s="4"/>
    </row>
    <row r="1223" spans="2:16" ht="63" x14ac:dyDescent="0.25">
      <c r="B1223" s="2">
        <v>988</v>
      </c>
      <c r="C1223" s="2" t="str">
        <f>"3-15/NOS-121-B/14"</f>
        <v>3-15/NOS-121-B/14</v>
      </c>
      <c r="D1223" s="2" t="s">
        <v>28</v>
      </c>
      <c r="E1223" s="2" t="s">
        <v>1250</v>
      </c>
      <c r="F1223" s="2" t="s">
        <v>1316</v>
      </c>
      <c r="G1223" s="2" t="str">
        <f>"3-15/NOS-121-B/14"</f>
        <v>3-15/NOS-121-B/14</v>
      </c>
      <c r="H1223" s="2" t="str">
        <f t="shared" ref="H1223:H1285" si="30">"Ugovor - narudžbenica (periodični predmet)"</f>
        <v>Ugovor - narudžbenica (periodični predmet)</v>
      </c>
      <c r="I1223" s="2" t="s">
        <v>19</v>
      </c>
      <c r="J1223" s="3" t="str">
        <f>"60.590,00"</f>
        <v>60.590,00</v>
      </c>
      <c r="K1223" s="2" t="s">
        <v>1051</v>
      </c>
      <c r="L1223" s="2" t="s">
        <v>1363</v>
      </c>
      <c r="M1223" s="2" t="s">
        <v>84</v>
      </c>
      <c r="N1223" s="2" t="str">
        <f>"23.10.2015"</f>
        <v>23.10.2015</v>
      </c>
      <c r="O1223" s="3" t="str">
        <f>"60.590,00"</f>
        <v>60.590,00</v>
      </c>
      <c r="P1223" s="4"/>
    </row>
    <row r="1224" spans="2:16" s="19" customFormat="1" ht="63" x14ac:dyDescent="0.25">
      <c r="B1224" s="16">
        <v>989</v>
      </c>
      <c r="C1224" s="16" t="str">
        <f>"4-15/NOS-97-B/15"</f>
        <v>4-15/NOS-97-B/15</v>
      </c>
      <c r="D1224" s="16" t="s">
        <v>16</v>
      </c>
      <c r="E1224" s="16" t="s">
        <v>1250</v>
      </c>
      <c r="F1224" s="16" t="s">
        <v>1271</v>
      </c>
      <c r="G1224" s="16" t="str">
        <f>"4-15/NOS-97-B/15"</f>
        <v>4-15/NOS-97-B/15</v>
      </c>
      <c r="H1224" s="16" t="str">
        <f t="shared" si="30"/>
        <v>Ugovor - narudžbenica (periodični predmet)</v>
      </c>
      <c r="I1224" s="16" t="s">
        <v>19</v>
      </c>
      <c r="J1224" s="17" t="str">
        <f>"54.610,00"</f>
        <v>54.610,00</v>
      </c>
      <c r="K1224" s="16" t="s">
        <v>1051</v>
      </c>
      <c r="L1224" s="16" t="s">
        <v>1363</v>
      </c>
      <c r="M1224" s="16" t="s">
        <v>84</v>
      </c>
      <c r="N1224" s="16" t="str">
        <f>"03.12.2015"</f>
        <v>03.12.2015</v>
      </c>
      <c r="O1224" s="17" t="str">
        <f>"54.739,85"</f>
        <v>54.739,85</v>
      </c>
      <c r="P1224" s="16" t="s">
        <v>699</v>
      </c>
    </row>
    <row r="1225" spans="2:16" ht="63" x14ac:dyDescent="0.25">
      <c r="B1225" s="2">
        <v>990</v>
      </c>
      <c r="C1225" s="2" t="str">
        <f>"10-15/NOS-122/14"</f>
        <v>10-15/NOS-122/14</v>
      </c>
      <c r="D1225" s="2" t="s">
        <v>16</v>
      </c>
      <c r="E1225" s="2" t="s">
        <v>1250</v>
      </c>
      <c r="F1225" s="2" t="s">
        <v>58</v>
      </c>
      <c r="G1225" s="2" t="str">
        <f>"10-15/NOS-122/14"</f>
        <v>10-15/NOS-122/14</v>
      </c>
      <c r="H1225" s="2" t="str">
        <f t="shared" si="30"/>
        <v>Ugovor - narudžbenica (periodični predmet)</v>
      </c>
      <c r="I1225" s="2" t="s">
        <v>19</v>
      </c>
      <c r="J1225" s="3" t="str">
        <f>"9.255,23"</f>
        <v>9.255,23</v>
      </c>
      <c r="K1225" s="2" t="s">
        <v>1051</v>
      </c>
      <c r="L1225" s="2" t="s">
        <v>1363</v>
      </c>
      <c r="M1225" s="2" t="s">
        <v>65</v>
      </c>
      <c r="N1225" s="2" t="str">
        <f>"30.12.2015"</f>
        <v>30.12.2015</v>
      </c>
      <c r="O1225" s="3" t="str">
        <f>"5.368,33"</f>
        <v>5.368,33</v>
      </c>
      <c r="P1225" s="4"/>
    </row>
    <row r="1226" spans="2:16" ht="63" x14ac:dyDescent="0.25">
      <c r="B1226" s="2">
        <v>992</v>
      </c>
      <c r="C1226" s="2" t="str">
        <f>"23-15/NOS-102/11"</f>
        <v>23-15/NOS-102/11</v>
      </c>
      <c r="D1226" s="2" t="s">
        <v>16</v>
      </c>
      <c r="E1226" s="2" t="s">
        <v>1250</v>
      </c>
      <c r="F1226" s="2" t="s">
        <v>1357</v>
      </c>
      <c r="G1226" s="2" t="str">
        <f>"23-15/NOS-102/11"</f>
        <v>23-15/NOS-102/11</v>
      </c>
      <c r="H1226" s="2" t="str">
        <f t="shared" si="30"/>
        <v>Ugovor - narudžbenica (periodični predmet)</v>
      </c>
      <c r="I1226" s="2" t="s">
        <v>19</v>
      </c>
      <c r="J1226" s="3" t="str">
        <f>"52.630,73"</f>
        <v>52.630,73</v>
      </c>
      <c r="K1226" s="2" t="s">
        <v>1051</v>
      </c>
      <c r="L1226" s="2" t="s">
        <v>1363</v>
      </c>
      <c r="M1226" s="2" t="s">
        <v>454</v>
      </c>
      <c r="N1226" s="2" t="str">
        <f>"28.10.2015"</f>
        <v>28.10.2015</v>
      </c>
      <c r="O1226" s="3" t="str">
        <f>"52.630,73"</f>
        <v>52.630,73</v>
      </c>
      <c r="P1226" s="4"/>
    </row>
    <row r="1227" spans="2:16" ht="63" x14ac:dyDescent="0.25">
      <c r="B1227" s="2">
        <v>993</v>
      </c>
      <c r="C1227" s="2" t="str">
        <f>"14-15/NOS-47/14"</f>
        <v>14-15/NOS-47/14</v>
      </c>
      <c r="D1227" s="2" t="s">
        <v>16</v>
      </c>
      <c r="E1227" s="2" t="s">
        <v>1250</v>
      </c>
      <c r="F1227" s="2" t="s">
        <v>1298</v>
      </c>
      <c r="G1227" s="2" t="str">
        <f>"14-15/NOS-47/14"</f>
        <v>14-15/NOS-47/14</v>
      </c>
      <c r="H1227" s="2" t="str">
        <f t="shared" si="30"/>
        <v>Ugovor - narudžbenica (periodični predmet)</v>
      </c>
      <c r="I1227" s="2" t="s">
        <v>19</v>
      </c>
      <c r="J1227" s="3" t="str">
        <f>"12.127,20"</f>
        <v>12.127,20</v>
      </c>
      <c r="K1227" s="2" t="s">
        <v>1096</v>
      </c>
      <c r="L1227" s="2" t="s">
        <v>1363</v>
      </c>
      <c r="M1227" s="2" t="s">
        <v>960</v>
      </c>
      <c r="N1227" s="2" t="str">
        <f>"05.10.2015"</f>
        <v>05.10.2015</v>
      </c>
      <c r="O1227" s="3" t="str">
        <f>"12.127,20"</f>
        <v>12.127,20</v>
      </c>
      <c r="P1227" s="4"/>
    </row>
    <row r="1228" spans="2:16" ht="63" x14ac:dyDescent="0.25">
      <c r="B1228" s="2">
        <v>994</v>
      </c>
      <c r="C1228" s="2" t="str">
        <f>"2-15/NOS-63-A/15"</f>
        <v>2-15/NOS-63-A/15</v>
      </c>
      <c r="D1228" s="2" t="s">
        <v>16</v>
      </c>
      <c r="E1228" s="2" t="s">
        <v>1250</v>
      </c>
      <c r="F1228" s="2" t="s">
        <v>1338</v>
      </c>
      <c r="G1228" s="2" t="str">
        <f>"2-15/NOS-63-A/15"</f>
        <v>2-15/NOS-63-A/15</v>
      </c>
      <c r="H1228" s="2" t="str">
        <f t="shared" si="30"/>
        <v>Ugovor - narudžbenica (periodični predmet)</v>
      </c>
      <c r="I1228" s="2" t="s">
        <v>19</v>
      </c>
      <c r="J1228" s="3" t="str">
        <f>"10.277,50"</f>
        <v>10.277,50</v>
      </c>
      <c r="K1228" s="2" t="s">
        <v>472</v>
      </c>
      <c r="L1228" s="2" t="s">
        <v>1363</v>
      </c>
      <c r="M1228" s="2" t="s">
        <v>84</v>
      </c>
      <c r="N1228" s="2" t="str">
        <f>"29.12.2015"</f>
        <v>29.12.2015</v>
      </c>
      <c r="O1228" s="3" t="str">
        <f>"2.730,00"</f>
        <v>2.730,00</v>
      </c>
      <c r="P1228" s="4"/>
    </row>
    <row r="1229" spans="2:16" ht="63" x14ac:dyDescent="0.25">
      <c r="B1229" s="2">
        <v>995</v>
      </c>
      <c r="C1229" s="2" t="str">
        <f>"5-15/NOS-94/14"</f>
        <v>5-15/NOS-94/14</v>
      </c>
      <c r="D1229" s="2" t="s">
        <v>16</v>
      </c>
      <c r="E1229" s="2" t="s">
        <v>1250</v>
      </c>
      <c r="F1229" s="2" t="s">
        <v>1348</v>
      </c>
      <c r="G1229" s="2" t="str">
        <f>"5-15/NOS-94/14"</f>
        <v>5-15/NOS-94/14</v>
      </c>
      <c r="H1229" s="2" t="str">
        <f t="shared" si="30"/>
        <v>Ugovor - narudžbenica (periodični predmet)</v>
      </c>
      <c r="I1229" s="2" t="s">
        <v>19</v>
      </c>
      <c r="J1229" s="3" t="str">
        <f>"3.721,50"</f>
        <v>3.721,50</v>
      </c>
      <c r="K1229" s="2" t="s">
        <v>472</v>
      </c>
      <c r="L1229" s="2" t="s">
        <v>1363</v>
      </c>
      <c r="M1229" s="2" t="s">
        <v>146</v>
      </c>
      <c r="N1229" s="2" t="str">
        <f>"12.10.2015"</f>
        <v>12.10.2015</v>
      </c>
      <c r="O1229" s="3" t="str">
        <f>"3.721,50"</f>
        <v>3.721,50</v>
      </c>
      <c r="P1229" s="4"/>
    </row>
    <row r="1230" spans="2:16" ht="63" x14ac:dyDescent="0.25">
      <c r="B1230" s="2">
        <v>996</v>
      </c>
      <c r="C1230" s="2" t="str">
        <f>"22-15/NOS-97/14"</f>
        <v>22-15/NOS-97/14</v>
      </c>
      <c r="D1230" s="2" t="s">
        <v>16</v>
      </c>
      <c r="E1230" s="2" t="s">
        <v>1250</v>
      </c>
      <c r="F1230" s="2" t="s">
        <v>1285</v>
      </c>
      <c r="G1230" s="2" t="str">
        <f>"22-15/NOS-97/14"</f>
        <v>22-15/NOS-97/14</v>
      </c>
      <c r="H1230" s="2" t="str">
        <f t="shared" si="30"/>
        <v>Ugovor - narudžbenica (periodični predmet)</v>
      </c>
      <c r="I1230" s="2" t="s">
        <v>19</v>
      </c>
      <c r="J1230" s="3" t="str">
        <f>"65.397,83"</f>
        <v>65.397,83</v>
      </c>
      <c r="K1230" s="2" t="s">
        <v>472</v>
      </c>
      <c r="L1230" s="2" t="s">
        <v>1363</v>
      </c>
      <c r="M1230" s="2" t="s">
        <v>165</v>
      </c>
      <c r="N1230" s="2" t="str">
        <f>"20.10.2015"</f>
        <v>20.10.2015</v>
      </c>
      <c r="O1230" s="3" t="str">
        <f>"65.249,25"</f>
        <v>65.249,25</v>
      </c>
      <c r="P1230" s="2"/>
    </row>
    <row r="1231" spans="2:16" s="15" customFormat="1" ht="63" x14ac:dyDescent="0.25">
      <c r="B1231" s="12">
        <v>997</v>
      </c>
      <c r="C1231" s="12" t="str">
        <f>"3-15/NOS-14/15"</f>
        <v>3-15/NOS-14/15</v>
      </c>
      <c r="D1231" s="12" t="s">
        <v>16</v>
      </c>
      <c r="E1231" s="12" t="s">
        <v>1250</v>
      </c>
      <c r="F1231" s="12" t="s">
        <v>324</v>
      </c>
      <c r="G1231" s="12" t="str">
        <f>"3-15/NOS-14/15"</f>
        <v>3-15/NOS-14/15</v>
      </c>
      <c r="H1231" s="12" t="str">
        <f t="shared" si="30"/>
        <v>Ugovor - narudžbenica (periodični predmet)</v>
      </c>
      <c r="I1231" s="12" t="s">
        <v>19</v>
      </c>
      <c r="J1231" s="13" t="str">
        <f>"155.324,00"</f>
        <v>155.324,00</v>
      </c>
      <c r="K1231" s="12" t="s">
        <v>472</v>
      </c>
      <c r="L1231" s="12" t="s">
        <v>1364</v>
      </c>
      <c r="M1231" s="12" t="s">
        <v>138</v>
      </c>
      <c r="N1231" s="12" t="s">
        <v>1567</v>
      </c>
      <c r="O1231" s="22">
        <v>155324</v>
      </c>
      <c r="P1231" s="14"/>
    </row>
    <row r="1232" spans="2:16" s="15" customFormat="1" ht="63" x14ac:dyDescent="0.25">
      <c r="B1232" s="12">
        <v>998</v>
      </c>
      <c r="C1232" s="12" t="str">
        <f>"14-15/NOS-32/14"</f>
        <v>14-15/NOS-32/14</v>
      </c>
      <c r="D1232" s="12" t="s">
        <v>16</v>
      </c>
      <c r="E1232" s="12" t="s">
        <v>1250</v>
      </c>
      <c r="F1232" s="12" t="s">
        <v>1365</v>
      </c>
      <c r="G1232" s="12" t="str">
        <f>"14-15/NOS-32/14"</f>
        <v>14-15/NOS-32/14</v>
      </c>
      <c r="H1232" s="12" t="str">
        <f t="shared" si="30"/>
        <v>Ugovor - narudžbenica (periodični predmet)</v>
      </c>
      <c r="I1232" s="12" t="s">
        <v>19</v>
      </c>
      <c r="J1232" s="13" t="str">
        <f>"32.940,00"</f>
        <v>32.940,00</v>
      </c>
      <c r="K1232" s="12" t="s">
        <v>472</v>
      </c>
      <c r="L1232" s="12" t="s">
        <v>1364</v>
      </c>
      <c r="M1232" s="12" t="s">
        <v>1366</v>
      </c>
      <c r="N1232" s="12" t="str">
        <f>"22.12.2015"</f>
        <v>22.12.2015</v>
      </c>
      <c r="O1232" s="13" t="str">
        <f>"18.446,40"</f>
        <v>18.446,40</v>
      </c>
      <c r="P1232" s="14"/>
    </row>
    <row r="1233" spans="2:16" s="15" customFormat="1" ht="63" x14ac:dyDescent="0.25">
      <c r="B1233" s="12">
        <v>999</v>
      </c>
      <c r="C1233" s="12" t="str">
        <f>"16-15/NOS-205/13"</f>
        <v>16-15/NOS-205/13</v>
      </c>
      <c r="D1233" s="12" t="s">
        <v>16</v>
      </c>
      <c r="E1233" s="12" t="s">
        <v>1250</v>
      </c>
      <c r="F1233" s="12" t="s">
        <v>1290</v>
      </c>
      <c r="G1233" s="12" t="str">
        <f>"16-15/NOS-205/13"</f>
        <v>16-15/NOS-205/13</v>
      </c>
      <c r="H1233" s="12" t="str">
        <f t="shared" si="30"/>
        <v>Ugovor - narudžbenica (periodični predmet)</v>
      </c>
      <c r="I1233" s="12" t="s">
        <v>19</v>
      </c>
      <c r="J1233" s="13" t="str">
        <f>"12.860,00"</f>
        <v>12.860,00</v>
      </c>
      <c r="K1233" s="12" t="s">
        <v>472</v>
      </c>
      <c r="L1233" s="12" t="s">
        <v>1363</v>
      </c>
      <c r="M1233" s="12" t="s">
        <v>84</v>
      </c>
      <c r="N1233" s="12" t="s">
        <v>23</v>
      </c>
      <c r="O1233" s="13" t="str">
        <f>"0,00"</f>
        <v>0,00</v>
      </c>
      <c r="P1233" s="14"/>
    </row>
    <row r="1234" spans="2:16" s="19" customFormat="1" ht="63" x14ac:dyDescent="0.25">
      <c r="B1234" s="16">
        <v>1000</v>
      </c>
      <c r="C1234" s="16" t="str">
        <f>"2-15/NOS-97-A/15"</f>
        <v>2-15/NOS-97-A/15</v>
      </c>
      <c r="D1234" s="16" t="s">
        <v>16</v>
      </c>
      <c r="E1234" s="16" t="s">
        <v>1250</v>
      </c>
      <c r="F1234" s="16" t="s">
        <v>1271</v>
      </c>
      <c r="G1234" s="16" t="str">
        <f>"2-15/NOS-97-A/15"</f>
        <v>2-15/NOS-97-A/15</v>
      </c>
      <c r="H1234" s="16" t="str">
        <f t="shared" si="30"/>
        <v>Ugovor - narudžbenica (periodični predmet)</v>
      </c>
      <c r="I1234" s="16" t="s">
        <v>19</v>
      </c>
      <c r="J1234" s="17" t="str">
        <f>"26.648,00"</f>
        <v>26.648,00</v>
      </c>
      <c r="K1234" s="16" t="s">
        <v>109</v>
      </c>
      <c r="L1234" s="16" t="s">
        <v>1363</v>
      </c>
      <c r="M1234" s="16" t="s">
        <v>184</v>
      </c>
      <c r="N1234" s="16" t="str">
        <f>"23.10.2015"</f>
        <v>23.10.2015</v>
      </c>
      <c r="O1234" s="17" t="str">
        <f>"26.664,72"</f>
        <v>26.664,72</v>
      </c>
      <c r="P1234" s="16" t="s">
        <v>699</v>
      </c>
    </row>
    <row r="1235" spans="2:16" ht="63" x14ac:dyDescent="0.25">
      <c r="B1235" s="2">
        <v>1001</v>
      </c>
      <c r="C1235" s="2" t="str">
        <f>"1-15/NOS-95/15"</f>
        <v>1-15/NOS-95/15</v>
      </c>
      <c r="D1235" s="2" t="s">
        <v>16</v>
      </c>
      <c r="E1235" s="2" t="s">
        <v>1250</v>
      </c>
      <c r="F1235" s="2" t="s">
        <v>510</v>
      </c>
      <c r="G1235" s="2" t="str">
        <f>"1-15/NOS-95/15"</f>
        <v>1-15/NOS-95/15</v>
      </c>
      <c r="H1235" s="2" t="str">
        <f t="shared" si="30"/>
        <v>Ugovor - narudžbenica (periodični predmet)</v>
      </c>
      <c r="I1235" s="2" t="s">
        <v>19</v>
      </c>
      <c r="J1235" s="3" t="str">
        <f>"5.584,00"</f>
        <v>5.584,00</v>
      </c>
      <c r="K1235" s="2" t="s">
        <v>109</v>
      </c>
      <c r="L1235" s="2" t="s">
        <v>1364</v>
      </c>
      <c r="M1235" s="2" t="s">
        <v>73</v>
      </c>
      <c r="N1235" s="2" t="str">
        <f>"29.10.2015"</f>
        <v>29.10.2015</v>
      </c>
      <c r="O1235" s="3" t="str">
        <f>"5.584,00"</f>
        <v>5.584,00</v>
      </c>
      <c r="P1235" s="4"/>
    </row>
    <row r="1236" spans="2:16" ht="63" x14ac:dyDescent="0.25">
      <c r="B1236" s="2">
        <v>1002</v>
      </c>
      <c r="C1236" s="2" t="str">
        <f>"3-15/NOS-35/15"</f>
        <v>3-15/NOS-35/15</v>
      </c>
      <c r="D1236" s="2" t="s">
        <v>85</v>
      </c>
      <c r="E1236" s="2" t="s">
        <v>1250</v>
      </c>
      <c r="F1236" s="2" t="s">
        <v>243</v>
      </c>
      <c r="G1236" s="2" t="str">
        <f>"3-15/NOS-35/15"</f>
        <v>3-15/NOS-35/15</v>
      </c>
      <c r="H1236" s="2" t="str">
        <f t="shared" si="30"/>
        <v>Ugovor - narudžbenica (periodični predmet)</v>
      </c>
      <c r="I1236" s="2" t="s">
        <v>19</v>
      </c>
      <c r="J1236" s="3" t="str">
        <f>"4.028,00"</f>
        <v>4.028,00</v>
      </c>
      <c r="K1236" s="2" t="s">
        <v>109</v>
      </c>
      <c r="L1236" s="2" t="s">
        <v>1367</v>
      </c>
      <c r="M1236" s="2" t="s">
        <v>246</v>
      </c>
      <c r="N1236" s="2" t="str">
        <f>"05.10.2015"</f>
        <v>05.10.2015</v>
      </c>
      <c r="O1236" s="3" t="str">
        <f>"4.028,00"</f>
        <v>4.028,00</v>
      </c>
      <c r="P1236" s="4"/>
    </row>
    <row r="1237" spans="2:16" s="15" customFormat="1" ht="63" x14ac:dyDescent="0.25">
      <c r="B1237" s="12">
        <v>1003</v>
      </c>
      <c r="C1237" s="12" t="str">
        <f>"2-15/NOS-62/15"</f>
        <v>2-15/NOS-62/15</v>
      </c>
      <c r="D1237" s="12" t="s">
        <v>16</v>
      </c>
      <c r="E1237" s="12" t="s">
        <v>1250</v>
      </c>
      <c r="F1237" s="12" t="s">
        <v>211</v>
      </c>
      <c r="G1237" s="12" t="str">
        <f>"2-15/NOS-62/15"</f>
        <v>2-15/NOS-62/15</v>
      </c>
      <c r="H1237" s="12" t="str">
        <f t="shared" si="30"/>
        <v>Ugovor - narudžbenica (periodični predmet)</v>
      </c>
      <c r="I1237" s="12" t="s">
        <v>19</v>
      </c>
      <c r="J1237" s="13" t="str">
        <f>"38.000,00"</f>
        <v>38.000,00</v>
      </c>
      <c r="K1237" s="12" t="s">
        <v>109</v>
      </c>
      <c r="L1237" s="12" t="s">
        <v>1364</v>
      </c>
      <c r="M1237" s="12" t="s">
        <v>213</v>
      </c>
      <c r="N1237" s="12" t="s">
        <v>23</v>
      </c>
      <c r="O1237" s="13" t="str">
        <f>"0,00"</f>
        <v>0,00</v>
      </c>
      <c r="P1237" s="14"/>
    </row>
    <row r="1238" spans="2:16" ht="63" x14ac:dyDescent="0.25">
      <c r="B1238" s="2">
        <v>1004</v>
      </c>
      <c r="C1238" s="2" t="str">
        <f>"5-15/NOS-19/15"</f>
        <v>5-15/NOS-19/15</v>
      </c>
      <c r="D1238" s="2" t="s">
        <v>16</v>
      </c>
      <c r="E1238" s="2" t="s">
        <v>1250</v>
      </c>
      <c r="F1238" s="2" t="s">
        <v>277</v>
      </c>
      <c r="G1238" s="2" t="str">
        <f>"5-15/NOS-19/15"</f>
        <v>5-15/NOS-19/15</v>
      </c>
      <c r="H1238" s="2" t="str">
        <f t="shared" si="30"/>
        <v>Ugovor - narudžbenica (periodični predmet)</v>
      </c>
      <c r="I1238" s="2" t="s">
        <v>19</v>
      </c>
      <c r="J1238" s="3" t="str">
        <f>"73.368,00"</f>
        <v>73.368,00</v>
      </c>
      <c r="K1238" s="2" t="s">
        <v>109</v>
      </c>
      <c r="L1238" s="2" t="s">
        <v>1367</v>
      </c>
      <c r="M1238" s="2" t="s">
        <v>44</v>
      </c>
      <c r="N1238" s="2" t="str">
        <f>"14.01.2016"</f>
        <v>14.01.2016</v>
      </c>
      <c r="O1238" s="3" t="str">
        <f>"73.368,00"</f>
        <v>73.368,00</v>
      </c>
      <c r="P1238" s="4"/>
    </row>
    <row r="1239" spans="2:16" ht="63" x14ac:dyDescent="0.25">
      <c r="B1239" s="2">
        <v>1005</v>
      </c>
      <c r="C1239" s="2" t="str">
        <f>"2-15/NOS-75-I/15"</f>
        <v>2-15/NOS-75-I/15</v>
      </c>
      <c r="D1239" s="2" t="s">
        <v>16</v>
      </c>
      <c r="E1239" s="2" t="s">
        <v>1250</v>
      </c>
      <c r="F1239" s="2" t="s">
        <v>1337</v>
      </c>
      <c r="G1239" s="2" t="str">
        <f>"2-15/NOS-75-I/15"</f>
        <v>2-15/NOS-75-I/15</v>
      </c>
      <c r="H1239" s="2" t="str">
        <f t="shared" si="30"/>
        <v>Ugovor - narudžbenica (periodični predmet)</v>
      </c>
      <c r="I1239" s="2" t="s">
        <v>19</v>
      </c>
      <c r="J1239" s="3" t="str">
        <f>"787.400,00"</f>
        <v>787.400,00</v>
      </c>
      <c r="K1239" s="2" t="s">
        <v>109</v>
      </c>
      <c r="L1239" s="2" t="s">
        <v>1364</v>
      </c>
      <c r="M1239" s="2" t="s">
        <v>612</v>
      </c>
      <c r="N1239" s="2" t="str">
        <f>"28.12.2015"</f>
        <v>28.12.2015</v>
      </c>
      <c r="O1239" s="3" t="str">
        <f>"787.400,00"</f>
        <v>787.400,00</v>
      </c>
      <c r="P1239" s="4"/>
    </row>
    <row r="1240" spans="2:16" ht="63" x14ac:dyDescent="0.25">
      <c r="B1240" s="2">
        <v>1006</v>
      </c>
      <c r="C1240" s="2" t="str">
        <f>"19-15/NOS-66/14"</f>
        <v>19-15/NOS-66/14</v>
      </c>
      <c r="D1240" s="2" t="s">
        <v>16</v>
      </c>
      <c r="E1240" s="2" t="s">
        <v>1250</v>
      </c>
      <c r="F1240" s="2" t="s">
        <v>1368</v>
      </c>
      <c r="G1240" s="2" t="str">
        <f>"19-15/NOS-66/14"</f>
        <v>19-15/NOS-66/14</v>
      </c>
      <c r="H1240" s="2" t="str">
        <f t="shared" si="30"/>
        <v>Ugovor - narudžbenica (periodični predmet)</v>
      </c>
      <c r="I1240" s="2" t="s">
        <v>19</v>
      </c>
      <c r="J1240" s="3" t="str">
        <f>"30.600,00"</f>
        <v>30.600,00</v>
      </c>
      <c r="K1240" s="2" t="s">
        <v>109</v>
      </c>
      <c r="L1240" s="2" t="s">
        <v>1121</v>
      </c>
      <c r="M1240" s="2" t="s">
        <v>1369</v>
      </c>
      <c r="N1240" s="2" t="str">
        <f>"19.10.2015"</f>
        <v>19.10.2015</v>
      </c>
      <c r="O1240" s="3" t="str">
        <f>"30.600,00"</f>
        <v>30.600,00</v>
      </c>
      <c r="P1240" s="4"/>
    </row>
    <row r="1241" spans="2:16" ht="63" x14ac:dyDescent="0.25">
      <c r="B1241" s="2">
        <v>1007</v>
      </c>
      <c r="C1241" s="2" t="str">
        <f>"1-15/NOS-75-B/15"</f>
        <v>1-15/NOS-75-B/15</v>
      </c>
      <c r="D1241" s="2" t="s">
        <v>16</v>
      </c>
      <c r="E1241" s="2" t="s">
        <v>1250</v>
      </c>
      <c r="F1241" s="2" t="s">
        <v>1337</v>
      </c>
      <c r="G1241" s="2" t="str">
        <f>"1-15/NOS-75-B/15"</f>
        <v>1-15/NOS-75-B/15</v>
      </c>
      <c r="H1241" s="2" t="str">
        <f t="shared" si="30"/>
        <v>Ugovor - narudžbenica (periodični predmet)</v>
      </c>
      <c r="I1241" s="2" t="s">
        <v>19</v>
      </c>
      <c r="J1241" s="3" t="str">
        <f>"23.550,00"</f>
        <v>23.550,00</v>
      </c>
      <c r="K1241" s="2" t="s">
        <v>109</v>
      </c>
      <c r="L1241" s="2" t="s">
        <v>1367</v>
      </c>
      <c r="M1241" s="2" t="s">
        <v>612</v>
      </c>
      <c r="N1241" s="2" t="str">
        <f>"14.10.2015"</f>
        <v>14.10.2015</v>
      </c>
      <c r="O1241" s="3" t="str">
        <f>"23.550,00"</f>
        <v>23.550,00</v>
      </c>
      <c r="P1241" s="4"/>
    </row>
    <row r="1242" spans="2:16" s="15" customFormat="1" ht="63" x14ac:dyDescent="0.25">
      <c r="B1242" s="12">
        <v>1008</v>
      </c>
      <c r="C1242" s="12" t="str">
        <f>"8-15/NOS-40/14"</f>
        <v>8-15/NOS-40/14</v>
      </c>
      <c r="D1242" s="12" t="s">
        <v>16</v>
      </c>
      <c r="E1242" s="12" t="s">
        <v>1250</v>
      </c>
      <c r="F1242" s="12" t="s">
        <v>1210</v>
      </c>
      <c r="G1242" s="12" t="str">
        <f>"8-15/NOS-40/14"</f>
        <v>8-15/NOS-40/14</v>
      </c>
      <c r="H1242" s="12" t="str">
        <f t="shared" si="30"/>
        <v>Ugovor - narudžbenica (periodični predmet)</v>
      </c>
      <c r="I1242" s="12" t="s">
        <v>19</v>
      </c>
      <c r="J1242" s="13" t="str">
        <f>"12.209,64"</f>
        <v>12.209,64</v>
      </c>
      <c r="K1242" s="12" t="s">
        <v>549</v>
      </c>
      <c r="L1242" s="12" t="s">
        <v>1364</v>
      </c>
      <c r="M1242" s="12" t="s">
        <v>805</v>
      </c>
      <c r="N1242" s="12" t="s">
        <v>23</v>
      </c>
      <c r="O1242" s="13" t="str">
        <f>"0,00"</f>
        <v>0,00</v>
      </c>
      <c r="P1242" s="14"/>
    </row>
    <row r="1243" spans="2:16" ht="63" x14ac:dyDescent="0.25">
      <c r="B1243" s="2">
        <v>1009</v>
      </c>
      <c r="C1243" s="2" t="str">
        <f>"5-15/NOS-75-A/15"</f>
        <v>5-15/NOS-75-A/15</v>
      </c>
      <c r="D1243" s="2" t="s">
        <v>16</v>
      </c>
      <c r="E1243" s="2" t="s">
        <v>1250</v>
      </c>
      <c r="F1243" s="2" t="s">
        <v>1337</v>
      </c>
      <c r="G1243" s="2" t="str">
        <f>"5-15/NOS-75-A/15"</f>
        <v>5-15/NOS-75-A/15</v>
      </c>
      <c r="H1243" s="2" t="str">
        <f t="shared" si="30"/>
        <v>Ugovor - narudžbenica (periodični predmet)</v>
      </c>
      <c r="I1243" s="2" t="s">
        <v>19</v>
      </c>
      <c r="J1243" s="3" t="str">
        <f>"351.204,00"</f>
        <v>351.204,00</v>
      </c>
      <c r="K1243" s="2" t="s">
        <v>549</v>
      </c>
      <c r="L1243" s="2" t="s">
        <v>1364</v>
      </c>
      <c r="M1243" s="2" t="s">
        <v>218</v>
      </c>
      <c r="N1243" s="2" t="str">
        <f>"17.12.2015"</f>
        <v>17.12.2015</v>
      </c>
      <c r="O1243" s="3" t="str">
        <f>"219.834,00"</f>
        <v>219.834,00</v>
      </c>
      <c r="P1243" s="4"/>
    </row>
    <row r="1244" spans="2:16" s="15" customFormat="1" ht="63" x14ac:dyDescent="0.25">
      <c r="B1244" s="12">
        <v>1010</v>
      </c>
      <c r="C1244" s="12" t="str">
        <f>"5-15/NOS-214/13"</f>
        <v>5-15/NOS-214/13</v>
      </c>
      <c r="D1244" s="12" t="s">
        <v>85</v>
      </c>
      <c r="E1244" s="12" t="s">
        <v>1250</v>
      </c>
      <c r="F1244" s="12" t="s">
        <v>1326</v>
      </c>
      <c r="G1244" s="12" t="str">
        <f>"5-15/NOS-214/13"</f>
        <v>5-15/NOS-214/13</v>
      </c>
      <c r="H1244" s="12" t="str">
        <f t="shared" si="30"/>
        <v>Ugovor - narudžbenica (periodični predmet)</v>
      </c>
      <c r="I1244" s="12" t="s">
        <v>19</v>
      </c>
      <c r="J1244" s="13" t="str">
        <f>"18.670,00"</f>
        <v>18.670,00</v>
      </c>
      <c r="K1244" s="12" t="s">
        <v>549</v>
      </c>
      <c r="L1244" s="12" t="s">
        <v>1364</v>
      </c>
      <c r="M1244" s="12" t="s">
        <v>1354</v>
      </c>
      <c r="N1244" s="12" t="s">
        <v>23</v>
      </c>
      <c r="O1244" s="13" t="str">
        <f>"0,00"</f>
        <v>0,00</v>
      </c>
      <c r="P1244" s="14"/>
    </row>
    <row r="1245" spans="2:16" ht="63" x14ac:dyDescent="0.25">
      <c r="B1245" s="2">
        <v>1011</v>
      </c>
      <c r="C1245" s="2" t="str">
        <f>"20-15/NOS-83/14"</f>
        <v>20-15/NOS-83/14</v>
      </c>
      <c r="D1245" s="2" t="s">
        <v>16</v>
      </c>
      <c r="E1245" s="2" t="s">
        <v>1250</v>
      </c>
      <c r="F1245" s="2" t="s">
        <v>1273</v>
      </c>
      <c r="G1245" s="2" t="str">
        <f>"20-15/NOS-83/14"</f>
        <v>20-15/NOS-83/14</v>
      </c>
      <c r="H1245" s="2" t="str">
        <f t="shared" si="30"/>
        <v>Ugovor - narudžbenica (periodični predmet)</v>
      </c>
      <c r="I1245" s="2" t="s">
        <v>19</v>
      </c>
      <c r="J1245" s="3" t="str">
        <f>"39.903,00"</f>
        <v>39.903,00</v>
      </c>
      <c r="K1245" s="2" t="s">
        <v>549</v>
      </c>
      <c r="L1245" s="2" t="s">
        <v>1364</v>
      </c>
      <c r="M1245" s="2" t="s">
        <v>941</v>
      </c>
      <c r="N1245" s="2" t="str">
        <f>"20.10.2015"</f>
        <v>20.10.2015</v>
      </c>
      <c r="O1245" s="3" t="str">
        <f>"39.903,00"</f>
        <v>39.903,00</v>
      </c>
      <c r="P1245" s="4"/>
    </row>
    <row r="1246" spans="2:16" ht="63" x14ac:dyDescent="0.25">
      <c r="B1246" s="2">
        <v>1012</v>
      </c>
      <c r="C1246" s="2" t="str">
        <f>"2-15/NOS-75-G/15"</f>
        <v>2-15/NOS-75-G/15</v>
      </c>
      <c r="D1246" s="2" t="s">
        <v>16</v>
      </c>
      <c r="E1246" s="2" t="s">
        <v>1250</v>
      </c>
      <c r="F1246" s="2" t="s">
        <v>1337</v>
      </c>
      <c r="G1246" s="2" t="str">
        <f>"2-15/NOS-75-G/15"</f>
        <v>2-15/NOS-75-G/15</v>
      </c>
      <c r="H1246" s="2" t="str">
        <f t="shared" si="30"/>
        <v>Ugovor - narudžbenica (periodični predmet)</v>
      </c>
      <c r="I1246" s="2" t="s">
        <v>19</v>
      </c>
      <c r="J1246" s="3" t="str">
        <f>"1.338,00"</f>
        <v>1.338,00</v>
      </c>
      <c r="K1246" s="2" t="s">
        <v>674</v>
      </c>
      <c r="L1246" s="2" t="s">
        <v>1364</v>
      </c>
      <c r="M1246" s="2" t="s">
        <v>613</v>
      </c>
      <c r="N1246" s="2" t="str">
        <f>"30.11.2015"</f>
        <v>30.11.2015</v>
      </c>
      <c r="O1246" s="3" t="str">
        <f>"1.338,00"</f>
        <v>1.338,00</v>
      </c>
      <c r="P1246" s="4"/>
    </row>
    <row r="1247" spans="2:16" ht="63" x14ac:dyDescent="0.25">
      <c r="B1247" s="2">
        <v>1013</v>
      </c>
      <c r="C1247" s="2" t="str">
        <f>"2-15/NOS-71/15"</f>
        <v>2-15/NOS-71/15</v>
      </c>
      <c r="D1247" s="2" t="s">
        <v>16</v>
      </c>
      <c r="E1247" s="2" t="s">
        <v>1250</v>
      </c>
      <c r="F1247" s="2" t="s">
        <v>575</v>
      </c>
      <c r="G1247" s="2" t="str">
        <f>"2-15/NOS-71/15"</f>
        <v>2-15/NOS-71/15</v>
      </c>
      <c r="H1247" s="2" t="str">
        <f t="shared" si="30"/>
        <v>Ugovor - narudžbenica (periodični predmet)</v>
      </c>
      <c r="I1247" s="2" t="s">
        <v>19</v>
      </c>
      <c r="J1247" s="3" t="str">
        <f>"7.700,01"</f>
        <v>7.700,01</v>
      </c>
      <c r="K1247" s="2" t="s">
        <v>674</v>
      </c>
      <c r="L1247" s="2" t="s">
        <v>1364</v>
      </c>
      <c r="M1247" s="2" t="s">
        <v>576</v>
      </c>
      <c r="N1247" s="2" t="str">
        <f>"20.10.2015"</f>
        <v>20.10.2015</v>
      </c>
      <c r="O1247" s="3" t="str">
        <f>"966,00"</f>
        <v>966,00</v>
      </c>
      <c r="P1247" s="4"/>
    </row>
    <row r="1248" spans="2:16" ht="63" x14ac:dyDescent="0.25">
      <c r="B1248" s="2">
        <v>1014</v>
      </c>
      <c r="C1248" s="2" t="str">
        <f>"2-15/NOS-75-C/15"</f>
        <v>2-15/NOS-75-C/15</v>
      </c>
      <c r="D1248" s="2" t="s">
        <v>16</v>
      </c>
      <c r="E1248" s="2" t="s">
        <v>1250</v>
      </c>
      <c r="F1248" s="2" t="s">
        <v>1337</v>
      </c>
      <c r="G1248" s="2" t="str">
        <f>"2-15/NOS-75-C/15"</f>
        <v>2-15/NOS-75-C/15</v>
      </c>
      <c r="H1248" s="2" t="str">
        <f t="shared" si="30"/>
        <v>Ugovor - narudžbenica (periodični predmet)</v>
      </c>
      <c r="I1248" s="2" t="s">
        <v>19</v>
      </c>
      <c r="J1248" s="3" t="str">
        <f>"12.810,00"</f>
        <v>12.810,00</v>
      </c>
      <c r="K1248" s="2" t="s">
        <v>674</v>
      </c>
      <c r="L1248" s="2" t="s">
        <v>1364</v>
      </c>
      <c r="M1248" s="2" t="s">
        <v>612</v>
      </c>
      <c r="N1248" s="2" t="str">
        <f>"02.12.2015"</f>
        <v>02.12.2015</v>
      </c>
      <c r="O1248" s="3" t="str">
        <f>"12.810,00"</f>
        <v>12.810,00</v>
      </c>
      <c r="P1248" s="4"/>
    </row>
    <row r="1249" spans="2:16" s="15" customFormat="1" ht="63" x14ac:dyDescent="0.25">
      <c r="B1249" s="12">
        <v>1015</v>
      </c>
      <c r="C1249" s="12" t="str">
        <f>"3-15/NOS-75-F/15"</f>
        <v>3-15/NOS-75-F/15</v>
      </c>
      <c r="D1249" s="12" t="s">
        <v>16</v>
      </c>
      <c r="E1249" s="12" t="s">
        <v>1250</v>
      </c>
      <c r="F1249" s="12" t="s">
        <v>1337</v>
      </c>
      <c r="G1249" s="12" t="str">
        <f>"3-15/NOS-75-F/15"</f>
        <v>3-15/NOS-75-F/15</v>
      </c>
      <c r="H1249" s="12" t="str">
        <f t="shared" si="30"/>
        <v>Ugovor - narudžbenica (periodični predmet)</v>
      </c>
      <c r="I1249" s="12" t="s">
        <v>19</v>
      </c>
      <c r="J1249" s="13" t="str">
        <f>"14.994,00"</f>
        <v>14.994,00</v>
      </c>
      <c r="K1249" s="12" t="s">
        <v>674</v>
      </c>
      <c r="L1249" s="12" t="s">
        <v>1364</v>
      </c>
      <c r="M1249" s="12" t="s">
        <v>218</v>
      </c>
      <c r="N1249" s="12" t="s">
        <v>23</v>
      </c>
      <c r="O1249" s="13" t="str">
        <f>"0,00"</f>
        <v>0,00</v>
      </c>
      <c r="P1249" s="14"/>
    </row>
    <row r="1250" spans="2:16" ht="63" x14ac:dyDescent="0.25">
      <c r="B1250" s="2">
        <v>1016</v>
      </c>
      <c r="C1250" s="2" t="str">
        <f>"8-15/NOS-99/14"</f>
        <v>8-15/NOS-99/14</v>
      </c>
      <c r="D1250" s="2" t="s">
        <v>16</v>
      </c>
      <c r="E1250" s="2" t="s">
        <v>1250</v>
      </c>
      <c r="F1250" s="2" t="s">
        <v>31</v>
      </c>
      <c r="G1250" s="2" t="str">
        <f>"8-15/NOS-99/14"</f>
        <v>8-15/NOS-99/14</v>
      </c>
      <c r="H1250" s="2" t="str">
        <f t="shared" si="30"/>
        <v>Ugovor - narudžbenica (periodični predmet)</v>
      </c>
      <c r="I1250" s="2" t="s">
        <v>19</v>
      </c>
      <c r="J1250" s="3" t="str">
        <f>"702,00"</f>
        <v>702,00</v>
      </c>
      <c r="K1250" s="2" t="s">
        <v>674</v>
      </c>
      <c r="L1250" s="2" t="s">
        <v>1367</v>
      </c>
      <c r="M1250" s="2" t="s">
        <v>34</v>
      </c>
      <c r="N1250" s="2" t="str">
        <f>"26.10.2015"</f>
        <v>26.10.2015</v>
      </c>
      <c r="O1250" s="3" t="str">
        <f>"702,00"</f>
        <v>702,00</v>
      </c>
      <c r="P1250" s="4"/>
    </row>
    <row r="1251" spans="2:16" ht="63" x14ac:dyDescent="0.25">
      <c r="B1251" s="2">
        <v>1017</v>
      </c>
      <c r="C1251" s="2" t="str">
        <f>"2-15/NOS-100-C/15"</f>
        <v>2-15/NOS-100-C/15</v>
      </c>
      <c r="D1251" s="2" t="s">
        <v>16</v>
      </c>
      <c r="E1251" s="2" t="s">
        <v>1250</v>
      </c>
      <c r="F1251" s="2" t="s">
        <v>1255</v>
      </c>
      <c r="G1251" s="2" t="str">
        <f>"2-15/NOS-100-C/15"</f>
        <v>2-15/NOS-100-C/15</v>
      </c>
      <c r="H1251" s="2" t="str">
        <f t="shared" si="30"/>
        <v>Ugovor - narudžbenica (periodični predmet)</v>
      </c>
      <c r="I1251" s="2" t="s">
        <v>19</v>
      </c>
      <c r="J1251" s="3" t="str">
        <f>"1.270,60"</f>
        <v>1.270,60</v>
      </c>
      <c r="K1251" s="2" t="s">
        <v>674</v>
      </c>
      <c r="L1251" s="2" t="s">
        <v>1364</v>
      </c>
      <c r="M1251" s="2" t="s">
        <v>44</v>
      </c>
      <c r="N1251" s="2" t="str">
        <f>"03.11.2015"</f>
        <v>03.11.2015</v>
      </c>
      <c r="O1251" s="3" t="str">
        <f>"1.270,60"</f>
        <v>1.270,60</v>
      </c>
      <c r="P1251" s="4"/>
    </row>
    <row r="1252" spans="2:16" ht="63" x14ac:dyDescent="0.25">
      <c r="B1252" s="2">
        <v>1018</v>
      </c>
      <c r="C1252" s="2" t="str">
        <f>"6-15/NOS-104/14"</f>
        <v>6-15/NOS-104/14</v>
      </c>
      <c r="D1252" s="2" t="s">
        <v>16</v>
      </c>
      <c r="E1252" s="2" t="s">
        <v>1250</v>
      </c>
      <c r="F1252" s="2" t="s">
        <v>37</v>
      </c>
      <c r="G1252" s="2" t="str">
        <f>"6-15/NOS-104/14"</f>
        <v>6-15/NOS-104/14</v>
      </c>
      <c r="H1252" s="2" t="str">
        <f t="shared" si="30"/>
        <v>Ugovor - narudžbenica (periodični predmet)</v>
      </c>
      <c r="I1252" s="2" t="s">
        <v>19</v>
      </c>
      <c r="J1252" s="3" t="str">
        <f>"5.500,00"</f>
        <v>5.500,00</v>
      </c>
      <c r="K1252" s="2" t="s">
        <v>674</v>
      </c>
      <c r="L1252" s="2" t="s">
        <v>1364</v>
      </c>
      <c r="M1252" s="2" t="s">
        <v>40</v>
      </c>
      <c r="N1252" s="2" t="str">
        <f>"27.10.2015"</f>
        <v>27.10.2015</v>
      </c>
      <c r="O1252" s="3" t="str">
        <f>"5.500,00"</f>
        <v>5.500,00</v>
      </c>
      <c r="P1252" s="4"/>
    </row>
    <row r="1253" spans="2:16" ht="63" x14ac:dyDescent="0.25">
      <c r="B1253" s="2">
        <v>1019</v>
      </c>
      <c r="C1253" s="2" t="str">
        <f>"4-15/NOS-106/14"</f>
        <v>4-15/NOS-106/14</v>
      </c>
      <c r="D1253" s="2" t="s">
        <v>16</v>
      </c>
      <c r="E1253" s="2" t="s">
        <v>1250</v>
      </c>
      <c r="F1253" s="2" t="s">
        <v>51</v>
      </c>
      <c r="G1253" s="2" t="str">
        <f>"4-15/NOS-106/14"</f>
        <v>4-15/NOS-106/14</v>
      </c>
      <c r="H1253" s="2" t="str">
        <f t="shared" si="30"/>
        <v>Ugovor - narudžbenica (periodični predmet)</v>
      </c>
      <c r="I1253" s="2" t="s">
        <v>19</v>
      </c>
      <c r="J1253" s="3" t="str">
        <f>"269,20"</f>
        <v>269,20</v>
      </c>
      <c r="K1253" s="2" t="s">
        <v>674</v>
      </c>
      <c r="L1253" s="2" t="s">
        <v>1364</v>
      </c>
      <c r="M1253" s="2" t="s">
        <v>52</v>
      </c>
      <c r="N1253" s="2" t="str">
        <f>"10.12.2015"</f>
        <v>10.12.2015</v>
      </c>
      <c r="O1253" s="3" t="str">
        <f>"48,00"</f>
        <v>48,00</v>
      </c>
      <c r="P1253" s="4"/>
    </row>
    <row r="1254" spans="2:16" ht="63" x14ac:dyDescent="0.25">
      <c r="B1254" s="2">
        <v>1020</v>
      </c>
      <c r="C1254" s="2" t="str">
        <f>"9-15/NOS-118/14"</f>
        <v>9-15/NOS-118/14</v>
      </c>
      <c r="D1254" s="2" t="s">
        <v>85</v>
      </c>
      <c r="E1254" s="2" t="s">
        <v>1250</v>
      </c>
      <c r="F1254" s="2" t="s">
        <v>86</v>
      </c>
      <c r="G1254" s="2" t="str">
        <f>"9-15/NOS-118/14"</f>
        <v>9-15/NOS-118/14</v>
      </c>
      <c r="H1254" s="2" t="str">
        <f t="shared" si="30"/>
        <v>Ugovor - narudžbenica (periodični predmet)</v>
      </c>
      <c r="I1254" s="2" t="s">
        <v>19</v>
      </c>
      <c r="J1254" s="3" t="str">
        <f>"53.275,00"</f>
        <v>53.275,00</v>
      </c>
      <c r="K1254" s="2" t="s">
        <v>674</v>
      </c>
      <c r="L1254" s="2" t="s">
        <v>1364</v>
      </c>
      <c r="M1254" s="2" t="s">
        <v>90</v>
      </c>
      <c r="N1254" s="2" t="str">
        <f>"23.11.2015"</f>
        <v>23.11.2015</v>
      </c>
      <c r="O1254" s="3" t="str">
        <f>"53.275,00"</f>
        <v>53.275,00</v>
      </c>
      <c r="P1254" s="4"/>
    </row>
    <row r="1255" spans="2:16" ht="63" x14ac:dyDescent="0.25">
      <c r="B1255" s="2">
        <v>1021</v>
      </c>
      <c r="C1255" s="2" t="str">
        <f>"4-15/NOS-83-A/15"</f>
        <v>4-15/NOS-83-A/15</v>
      </c>
      <c r="D1255" s="2" t="s">
        <v>16</v>
      </c>
      <c r="E1255" s="2" t="s">
        <v>1250</v>
      </c>
      <c r="F1255" s="2" t="s">
        <v>1340</v>
      </c>
      <c r="G1255" s="2" t="str">
        <f>"4-15/NOS-83-A/15"</f>
        <v>4-15/NOS-83-A/15</v>
      </c>
      <c r="H1255" s="2" t="str">
        <f t="shared" si="30"/>
        <v>Ugovor - narudžbenica (periodični predmet)</v>
      </c>
      <c r="I1255" s="2" t="s">
        <v>19</v>
      </c>
      <c r="J1255" s="3" t="str">
        <f>"5.681,00"</f>
        <v>5.681,00</v>
      </c>
      <c r="K1255" s="2" t="s">
        <v>674</v>
      </c>
      <c r="L1255" s="2" t="s">
        <v>1364</v>
      </c>
      <c r="M1255" s="2" t="s">
        <v>61</v>
      </c>
      <c r="N1255" s="2" t="str">
        <f>"28.10.2015"</f>
        <v>28.10.2015</v>
      </c>
      <c r="O1255" s="3" t="str">
        <f>"5.681,00"</f>
        <v>5.681,00</v>
      </c>
      <c r="P1255" s="4"/>
    </row>
    <row r="1256" spans="2:16" ht="63" x14ac:dyDescent="0.25">
      <c r="B1256" s="2">
        <v>1022</v>
      </c>
      <c r="C1256" s="2" t="str">
        <f>"1-15/NOS-110/15"</f>
        <v>1-15/NOS-110/15</v>
      </c>
      <c r="D1256" s="2" t="s">
        <v>28</v>
      </c>
      <c r="E1256" s="2" t="s">
        <v>1250</v>
      </c>
      <c r="F1256" s="2" t="s">
        <v>463</v>
      </c>
      <c r="G1256" s="2" t="str">
        <f>"1-15/NOS-110/15"</f>
        <v>1-15/NOS-110/15</v>
      </c>
      <c r="H1256" s="2" t="str">
        <f t="shared" si="30"/>
        <v>Ugovor - narudžbenica (periodični predmet)</v>
      </c>
      <c r="I1256" s="2" t="s">
        <v>19</v>
      </c>
      <c r="J1256" s="3" t="str">
        <f>"17.024,78"</f>
        <v>17.024,78</v>
      </c>
      <c r="K1256" s="2" t="s">
        <v>674</v>
      </c>
      <c r="L1256" s="2" t="s">
        <v>1363</v>
      </c>
      <c r="M1256" s="2" t="s">
        <v>44</v>
      </c>
      <c r="N1256" s="2" t="str">
        <f>"14.01.2016"</f>
        <v>14.01.2016</v>
      </c>
      <c r="O1256" s="3" t="str">
        <f>"10.561,95"</f>
        <v>10.561,95</v>
      </c>
      <c r="P1256" s="4"/>
    </row>
    <row r="1257" spans="2:16" ht="63" x14ac:dyDescent="0.25">
      <c r="B1257" s="2">
        <v>1023</v>
      </c>
      <c r="C1257" s="2" t="str">
        <f>"7-15/NOS-203/13"</f>
        <v>7-15/NOS-203/13</v>
      </c>
      <c r="D1257" s="2" t="s">
        <v>16</v>
      </c>
      <c r="E1257" s="2" t="s">
        <v>1250</v>
      </c>
      <c r="F1257" s="2" t="s">
        <v>1303</v>
      </c>
      <c r="G1257" s="2" t="str">
        <f>"7-15/NOS-203/13"</f>
        <v>7-15/NOS-203/13</v>
      </c>
      <c r="H1257" s="2" t="str">
        <f t="shared" si="30"/>
        <v>Ugovor - narudžbenica (periodični predmet)</v>
      </c>
      <c r="I1257" s="2" t="s">
        <v>19</v>
      </c>
      <c r="J1257" s="3" t="str">
        <f>"11.581,58"</f>
        <v>11.581,58</v>
      </c>
      <c r="K1257" s="2" t="s">
        <v>478</v>
      </c>
      <c r="L1257" s="2" t="s">
        <v>1364</v>
      </c>
      <c r="M1257" s="2" t="s">
        <v>1305</v>
      </c>
      <c r="N1257" s="2" t="str">
        <f>"06.10.2015"</f>
        <v>06.10.2015</v>
      </c>
      <c r="O1257" s="3" t="str">
        <f>"11.581,58"</f>
        <v>11.581,58</v>
      </c>
      <c r="P1257" s="4"/>
    </row>
    <row r="1258" spans="2:16" ht="63" x14ac:dyDescent="0.25">
      <c r="B1258" s="2">
        <v>1024</v>
      </c>
      <c r="C1258" s="2" t="str">
        <f>"27-15/NOS-137/13"</f>
        <v>27-15/NOS-137/13</v>
      </c>
      <c r="D1258" s="2" t="s">
        <v>16</v>
      </c>
      <c r="E1258" s="2" t="s">
        <v>1250</v>
      </c>
      <c r="F1258" s="2" t="s">
        <v>1330</v>
      </c>
      <c r="G1258" s="2" t="str">
        <f>"27-15/NOS-137/13"</f>
        <v>27-15/NOS-137/13</v>
      </c>
      <c r="H1258" s="2" t="str">
        <f t="shared" si="30"/>
        <v>Ugovor - narudžbenica (periodični predmet)</v>
      </c>
      <c r="I1258" s="2" t="s">
        <v>19</v>
      </c>
      <c r="J1258" s="3" t="str">
        <f>"6.504,90"</f>
        <v>6.504,90</v>
      </c>
      <c r="K1258" s="2" t="s">
        <v>478</v>
      </c>
      <c r="L1258" s="2" t="s">
        <v>1364</v>
      </c>
      <c r="M1258" s="2" t="s">
        <v>508</v>
      </c>
      <c r="N1258" s="2" t="str">
        <f>"06.11.2015"</f>
        <v>06.11.2015</v>
      </c>
      <c r="O1258" s="3" t="str">
        <f>"6.054,00"</f>
        <v>6.054,00</v>
      </c>
      <c r="P1258" s="4"/>
    </row>
    <row r="1259" spans="2:16" ht="63" x14ac:dyDescent="0.25">
      <c r="B1259" s="2">
        <v>1025</v>
      </c>
      <c r="C1259" s="2" t="str">
        <f>"61-15/NOS-136/13"</f>
        <v>61-15/NOS-136/13</v>
      </c>
      <c r="D1259" s="2" t="s">
        <v>28</v>
      </c>
      <c r="E1259" s="2" t="s">
        <v>1250</v>
      </c>
      <c r="F1259" s="2" t="s">
        <v>536</v>
      </c>
      <c r="G1259" s="2" t="str">
        <f>"61-15/NOS-136/13"</f>
        <v>61-15/NOS-136/13</v>
      </c>
      <c r="H1259" s="2" t="str">
        <f t="shared" si="30"/>
        <v>Ugovor - narudžbenica (periodični predmet)</v>
      </c>
      <c r="I1259" s="2" t="s">
        <v>19</v>
      </c>
      <c r="J1259" s="3" t="str">
        <f>"564,90"</f>
        <v>564,90</v>
      </c>
      <c r="K1259" s="2" t="s">
        <v>478</v>
      </c>
      <c r="L1259" s="2" t="s">
        <v>1364</v>
      </c>
      <c r="M1259" s="2" t="s">
        <v>891</v>
      </c>
      <c r="N1259" s="2" t="str">
        <f>"26.10.2015"</f>
        <v>26.10.2015</v>
      </c>
      <c r="O1259" s="3" t="str">
        <f>"564,90"</f>
        <v>564,90</v>
      </c>
      <c r="P1259" s="4"/>
    </row>
    <row r="1260" spans="2:16" ht="63" x14ac:dyDescent="0.25">
      <c r="B1260" s="2">
        <v>1026</v>
      </c>
      <c r="C1260" s="2" t="str">
        <f>"11-15/NOS-122/14"</f>
        <v>11-15/NOS-122/14</v>
      </c>
      <c r="D1260" s="2" t="s">
        <v>16</v>
      </c>
      <c r="E1260" s="2" t="s">
        <v>1250</v>
      </c>
      <c r="F1260" s="2" t="s">
        <v>58</v>
      </c>
      <c r="G1260" s="2" t="str">
        <f>"11-15/NOS-122/14"</f>
        <v>11-15/NOS-122/14</v>
      </c>
      <c r="H1260" s="2" t="str">
        <f t="shared" si="30"/>
        <v>Ugovor - narudžbenica (periodični predmet)</v>
      </c>
      <c r="I1260" s="2" t="s">
        <v>19</v>
      </c>
      <c r="J1260" s="3" t="str">
        <f>"8.112,24"</f>
        <v>8.112,24</v>
      </c>
      <c r="K1260" s="2" t="s">
        <v>478</v>
      </c>
      <c r="L1260" s="2" t="s">
        <v>1364</v>
      </c>
      <c r="M1260" s="2" t="s">
        <v>65</v>
      </c>
      <c r="N1260" s="2" t="str">
        <f>"07.12.2015"</f>
        <v>07.12.2015</v>
      </c>
      <c r="O1260" s="3" t="str">
        <f>"6.931,90"</f>
        <v>6.931,90</v>
      </c>
      <c r="P1260" s="4"/>
    </row>
    <row r="1261" spans="2:16" ht="63" x14ac:dyDescent="0.25">
      <c r="B1261" s="2">
        <v>1027</v>
      </c>
      <c r="C1261" s="2" t="str">
        <f>"27-15/NOS-89/14"</f>
        <v>27-15/NOS-89/14</v>
      </c>
      <c r="D1261" s="2" t="s">
        <v>16</v>
      </c>
      <c r="E1261" s="2" t="s">
        <v>1250</v>
      </c>
      <c r="F1261" s="2" t="s">
        <v>1277</v>
      </c>
      <c r="G1261" s="2" t="str">
        <f>"27-15/NOS-89/14"</f>
        <v>27-15/NOS-89/14</v>
      </c>
      <c r="H1261" s="2" t="str">
        <f t="shared" si="30"/>
        <v>Ugovor - narudžbenica (periodični predmet)</v>
      </c>
      <c r="I1261" s="2" t="s">
        <v>19</v>
      </c>
      <c r="J1261" s="3" t="str">
        <f>"4.757,60"</f>
        <v>4.757,60</v>
      </c>
      <c r="K1261" s="2" t="s">
        <v>478</v>
      </c>
      <c r="L1261" s="2" t="s">
        <v>1364</v>
      </c>
      <c r="M1261" s="2" t="s">
        <v>868</v>
      </c>
      <c r="N1261" s="2" t="str">
        <f>"26.10.2015"</f>
        <v>26.10.2015</v>
      </c>
      <c r="O1261" s="3" t="str">
        <f>"4.663,20"</f>
        <v>4.663,20</v>
      </c>
      <c r="P1261" s="4"/>
    </row>
    <row r="1262" spans="2:16" s="15" customFormat="1" ht="63" x14ac:dyDescent="0.25">
      <c r="B1262" s="12">
        <v>1028</v>
      </c>
      <c r="C1262" s="12" t="str">
        <f>"2-15/NOS-75-B/15"</f>
        <v>2-15/NOS-75-B/15</v>
      </c>
      <c r="D1262" s="12" t="s">
        <v>16</v>
      </c>
      <c r="E1262" s="12" t="s">
        <v>1250</v>
      </c>
      <c r="F1262" s="12" t="s">
        <v>1337</v>
      </c>
      <c r="G1262" s="12" t="str">
        <f>"2-15/NOS-75-B/15"</f>
        <v>2-15/NOS-75-B/15</v>
      </c>
      <c r="H1262" s="12" t="str">
        <f t="shared" si="30"/>
        <v>Ugovor - narudžbenica (periodični predmet)</v>
      </c>
      <c r="I1262" s="12" t="s">
        <v>19</v>
      </c>
      <c r="J1262" s="13" t="str">
        <f>"32.300,00"</f>
        <v>32.300,00</v>
      </c>
      <c r="K1262" s="12" t="s">
        <v>478</v>
      </c>
      <c r="L1262" s="12" t="s">
        <v>1364</v>
      </c>
      <c r="M1262" s="12" t="s">
        <v>612</v>
      </c>
      <c r="N1262" s="12" t="s">
        <v>23</v>
      </c>
      <c r="O1262" s="13" t="str">
        <f>"0,00"</f>
        <v>0,00</v>
      </c>
      <c r="P1262" s="14"/>
    </row>
    <row r="1263" spans="2:16" ht="63" x14ac:dyDescent="0.25">
      <c r="B1263" s="2">
        <v>1029</v>
      </c>
      <c r="C1263" s="2" t="str">
        <f>"8-15/NOS-67/14"</f>
        <v>8-15/NOS-67/14</v>
      </c>
      <c r="D1263" s="2" t="s">
        <v>16</v>
      </c>
      <c r="E1263" s="2" t="s">
        <v>1250</v>
      </c>
      <c r="F1263" s="2" t="s">
        <v>1314</v>
      </c>
      <c r="G1263" s="2" t="str">
        <f>"8-15/NOS-67/14"</f>
        <v>8-15/NOS-67/14</v>
      </c>
      <c r="H1263" s="2" t="str">
        <f t="shared" si="30"/>
        <v>Ugovor - narudžbenica (periodični predmet)</v>
      </c>
      <c r="I1263" s="2" t="s">
        <v>19</v>
      </c>
      <c r="J1263" s="3" t="str">
        <f>"811,65"</f>
        <v>811,65</v>
      </c>
      <c r="K1263" s="2" t="s">
        <v>478</v>
      </c>
      <c r="L1263" s="2" t="s">
        <v>1364</v>
      </c>
      <c r="M1263" s="2" t="s">
        <v>44</v>
      </c>
      <c r="N1263" s="2" t="str">
        <f>"16.10.2015"</f>
        <v>16.10.2015</v>
      </c>
      <c r="O1263" s="3" t="str">
        <f>"811,65"</f>
        <v>811,65</v>
      </c>
      <c r="P1263" s="4"/>
    </row>
    <row r="1264" spans="2:16" ht="63" x14ac:dyDescent="0.25">
      <c r="B1264" s="2">
        <v>1030</v>
      </c>
      <c r="C1264" s="2" t="str">
        <f>"15-15/NOS-47/14"</f>
        <v>15-15/NOS-47/14</v>
      </c>
      <c r="D1264" s="2" t="s">
        <v>16</v>
      </c>
      <c r="E1264" s="2" t="s">
        <v>1250</v>
      </c>
      <c r="F1264" s="2" t="s">
        <v>1298</v>
      </c>
      <c r="G1264" s="2" t="str">
        <f>"15-15/NOS-47/14"</f>
        <v>15-15/NOS-47/14</v>
      </c>
      <c r="H1264" s="2" t="str">
        <f t="shared" si="30"/>
        <v>Ugovor - narudžbenica (periodični predmet)</v>
      </c>
      <c r="I1264" s="2" t="s">
        <v>19</v>
      </c>
      <c r="J1264" s="3" t="str">
        <f>"11.250,00"</f>
        <v>11.250,00</v>
      </c>
      <c r="K1264" s="2" t="s">
        <v>478</v>
      </c>
      <c r="L1264" s="2" t="s">
        <v>1364</v>
      </c>
      <c r="M1264" s="2" t="s">
        <v>960</v>
      </c>
      <c r="N1264" s="2" t="str">
        <f>"05.10.2015"</f>
        <v>05.10.2015</v>
      </c>
      <c r="O1264" s="3" t="str">
        <f>"11.250,00"</f>
        <v>11.250,00</v>
      </c>
      <c r="P1264" s="4"/>
    </row>
    <row r="1265" spans="2:16" ht="63" x14ac:dyDescent="0.25">
      <c r="B1265" s="2">
        <v>1031</v>
      </c>
      <c r="C1265" s="2" t="str">
        <f>"4-15/NOS-70-A/15"</f>
        <v>4-15/NOS-70-A/15</v>
      </c>
      <c r="D1265" s="2" t="s">
        <v>16</v>
      </c>
      <c r="E1265" s="2" t="s">
        <v>1250</v>
      </c>
      <c r="F1265" s="2" t="s">
        <v>1342</v>
      </c>
      <c r="G1265" s="2" t="str">
        <f>"4-15/NOS-70-A/15"</f>
        <v>4-15/NOS-70-A/15</v>
      </c>
      <c r="H1265" s="2" t="str">
        <f t="shared" si="30"/>
        <v>Ugovor - narudžbenica (periodični predmet)</v>
      </c>
      <c r="I1265" s="2" t="s">
        <v>19</v>
      </c>
      <c r="J1265" s="3" t="str">
        <f>"8.005,00"</f>
        <v>8.005,00</v>
      </c>
      <c r="K1265" s="2" t="s">
        <v>1108</v>
      </c>
      <c r="L1265" s="2" t="s">
        <v>1364</v>
      </c>
      <c r="M1265" s="2" t="s">
        <v>508</v>
      </c>
      <c r="N1265" s="2" t="str">
        <f>"20.10.2015"</f>
        <v>20.10.2015</v>
      </c>
      <c r="O1265" s="3" t="str">
        <f>"8.005,00"</f>
        <v>8.005,00</v>
      </c>
      <c r="P1265" s="4"/>
    </row>
    <row r="1266" spans="2:16" ht="63" x14ac:dyDescent="0.25">
      <c r="B1266" s="2">
        <v>1032</v>
      </c>
      <c r="C1266" s="2" t="str">
        <f>"3-15/NOS-101-A/15"</f>
        <v>3-15/NOS-101-A/15</v>
      </c>
      <c r="D1266" s="2" t="s">
        <v>16</v>
      </c>
      <c r="E1266" s="2" t="s">
        <v>1250</v>
      </c>
      <c r="F1266" s="2" t="s">
        <v>1352</v>
      </c>
      <c r="G1266" s="2" t="str">
        <f>"3-15/NOS-101-A/15"</f>
        <v>3-15/NOS-101-A/15</v>
      </c>
      <c r="H1266" s="2" t="str">
        <f t="shared" si="30"/>
        <v>Ugovor - narudžbenica (periodični predmet)</v>
      </c>
      <c r="I1266" s="2" t="s">
        <v>19</v>
      </c>
      <c r="J1266" s="3" t="str">
        <f>"8.664,42"</f>
        <v>8.664,42</v>
      </c>
      <c r="K1266" s="2" t="s">
        <v>1108</v>
      </c>
      <c r="L1266" s="2" t="s">
        <v>1364</v>
      </c>
      <c r="M1266" s="2" t="s">
        <v>418</v>
      </c>
      <c r="N1266" s="2" t="str">
        <f>"12.10.2015"</f>
        <v>12.10.2015</v>
      </c>
      <c r="O1266" s="3" t="str">
        <f>"8.664,42"</f>
        <v>8.664,42</v>
      </c>
      <c r="P1266" s="4"/>
    </row>
    <row r="1267" spans="2:16" ht="63" x14ac:dyDescent="0.25">
      <c r="B1267" s="2">
        <v>1033</v>
      </c>
      <c r="C1267" s="2" t="str">
        <f>"3-15/NOS-100-B/15"</f>
        <v>3-15/NOS-100-B/15</v>
      </c>
      <c r="D1267" s="2" t="s">
        <v>16</v>
      </c>
      <c r="E1267" s="2" t="s">
        <v>1250</v>
      </c>
      <c r="F1267" s="2" t="s">
        <v>1255</v>
      </c>
      <c r="G1267" s="2" t="str">
        <f>"3-15/NOS-100-B/15"</f>
        <v>3-15/NOS-100-B/15</v>
      </c>
      <c r="H1267" s="2" t="str">
        <f t="shared" si="30"/>
        <v>Ugovor - narudžbenica (periodični predmet)</v>
      </c>
      <c r="I1267" s="2" t="s">
        <v>19</v>
      </c>
      <c r="J1267" s="3" t="str">
        <f>"9.749,80"</f>
        <v>9.749,80</v>
      </c>
      <c r="K1267" s="2" t="s">
        <v>1108</v>
      </c>
      <c r="L1267" s="2" t="s">
        <v>1364</v>
      </c>
      <c r="M1267" s="2" t="s">
        <v>631</v>
      </c>
      <c r="N1267" s="2" t="str">
        <f>"14.12.2015"</f>
        <v>14.12.2015</v>
      </c>
      <c r="O1267" s="3" t="str">
        <f>"9.749,80"</f>
        <v>9.749,80</v>
      </c>
      <c r="P1267" s="4"/>
    </row>
    <row r="1268" spans="2:16" ht="63" x14ac:dyDescent="0.25">
      <c r="B1268" s="2">
        <v>1034</v>
      </c>
      <c r="C1268" s="2" t="str">
        <f>"4-15/NOS-100-A/15"</f>
        <v>4-15/NOS-100-A/15</v>
      </c>
      <c r="D1268" s="2" t="s">
        <v>16</v>
      </c>
      <c r="E1268" s="2" t="s">
        <v>1250</v>
      </c>
      <c r="F1268" s="2" t="s">
        <v>1255</v>
      </c>
      <c r="G1268" s="2" t="str">
        <f>"4-15/NOS-100-A/15"</f>
        <v>4-15/NOS-100-A/15</v>
      </c>
      <c r="H1268" s="2" t="str">
        <f t="shared" si="30"/>
        <v>Ugovor - narudžbenica (periodični predmet)</v>
      </c>
      <c r="I1268" s="2" t="s">
        <v>19</v>
      </c>
      <c r="J1268" s="3" t="str">
        <f>"2.094,78"</f>
        <v>2.094,78</v>
      </c>
      <c r="K1268" s="2" t="s">
        <v>478</v>
      </c>
      <c r="L1268" s="2" t="s">
        <v>1364</v>
      </c>
      <c r="M1268" s="2" t="s">
        <v>565</v>
      </c>
      <c r="N1268" s="2" t="str">
        <f>"20.10.2015"</f>
        <v>20.10.2015</v>
      </c>
      <c r="O1268" s="3" t="str">
        <f>"740,88"</f>
        <v>740,88</v>
      </c>
      <c r="P1268" s="4"/>
    </row>
    <row r="1269" spans="2:16" ht="63" x14ac:dyDescent="0.25">
      <c r="B1269" s="2">
        <v>1035</v>
      </c>
      <c r="C1269" s="2" t="str">
        <f>"5-15/NOS-60/15"</f>
        <v>5-15/NOS-60/15</v>
      </c>
      <c r="D1269" s="2" t="s">
        <v>28</v>
      </c>
      <c r="E1269" s="2" t="s">
        <v>1250</v>
      </c>
      <c r="F1269" s="2" t="s">
        <v>157</v>
      </c>
      <c r="G1269" s="2" t="str">
        <f>"5-15/NOS-60/15"</f>
        <v>5-15/NOS-60/15</v>
      </c>
      <c r="H1269" s="2" t="str">
        <f t="shared" si="30"/>
        <v>Ugovor - narudžbenica (periodični predmet)</v>
      </c>
      <c r="I1269" s="2" t="s">
        <v>19</v>
      </c>
      <c r="J1269" s="3" t="str">
        <f>"7.160,96"</f>
        <v>7.160,96</v>
      </c>
      <c r="K1269" s="2" t="s">
        <v>674</v>
      </c>
      <c r="L1269" s="2" t="s">
        <v>1364</v>
      </c>
      <c r="M1269" s="2" t="s">
        <v>160</v>
      </c>
      <c r="N1269" s="2" t="str">
        <f>"02.12.2015"</f>
        <v>02.12.2015</v>
      </c>
      <c r="O1269" s="3" t="str">
        <f>"7.160,96"</f>
        <v>7.160,96</v>
      </c>
      <c r="P1269" s="4"/>
    </row>
    <row r="1270" spans="2:16" ht="63" x14ac:dyDescent="0.25">
      <c r="B1270" s="2">
        <v>1036</v>
      </c>
      <c r="C1270" s="2" t="str">
        <f>"12-15/NOS-24/15"</f>
        <v>12-15/NOS-24/15</v>
      </c>
      <c r="D1270" s="2" t="s">
        <v>188</v>
      </c>
      <c r="E1270" s="2" t="s">
        <v>1250</v>
      </c>
      <c r="F1270" s="2" t="s">
        <v>305</v>
      </c>
      <c r="G1270" s="2" t="str">
        <f>"12-15/NOS-24/15"</f>
        <v>12-15/NOS-24/15</v>
      </c>
      <c r="H1270" s="2" t="str">
        <f t="shared" si="30"/>
        <v>Ugovor - narudžbenica (periodični predmet)</v>
      </c>
      <c r="I1270" s="2" t="s">
        <v>19</v>
      </c>
      <c r="J1270" s="3" t="str">
        <f>"63.395,00"</f>
        <v>63.395,00</v>
      </c>
      <c r="K1270" s="2" t="s">
        <v>736</v>
      </c>
      <c r="L1270" s="2" t="s">
        <v>1364</v>
      </c>
      <c r="M1270" s="2" t="s">
        <v>218</v>
      </c>
      <c r="N1270" s="2" t="str">
        <f>"10.12.2015"</f>
        <v>10.12.2015</v>
      </c>
      <c r="O1270" s="3" t="str">
        <f>"59.645,00"</f>
        <v>59.645,00</v>
      </c>
      <c r="P1270" s="2"/>
    </row>
    <row r="1271" spans="2:16" s="15" customFormat="1" ht="63" x14ac:dyDescent="0.25">
      <c r="B1271" s="12">
        <v>1037</v>
      </c>
      <c r="C1271" s="12" t="str">
        <f>"3-15/NOS-62/15"</f>
        <v>3-15/NOS-62/15</v>
      </c>
      <c r="D1271" s="12" t="s">
        <v>16</v>
      </c>
      <c r="E1271" s="12" t="s">
        <v>1250</v>
      </c>
      <c r="F1271" s="12" t="s">
        <v>211</v>
      </c>
      <c r="G1271" s="12" t="str">
        <f>"3-15/NOS-62/15"</f>
        <v>3-15/NOS-62/15</v>
      </c>
      <c r="H1271" s="12" t="str">
        <f t="shared" si="30"/>
        <v>Ugovor - narudžbenica (periodični predmet)</v>
      </c>
      <c r="I1271" s="12" t="s">
        <v>19</v>
      </c>
      <c r="J1271" s="13" t="str">
        <f>"13.000,00"</f>
        <v>13.000,00</v>
      </c>
      <c r="K1271" s="12" t="s">
        <v>736</v>
      </c>
      <c r="L1271" s="12" t="s">
        <v>1370</v>
      </c>
      <c r="M1271" s="12" t="s">
        <v>213</v>
      </c>
      <c r="N1271" s="12" t="s">
        <v>23</v>
      </c>
      <c r="O1271" s="13" t="str">
        <f>"0,00"</f>
        <v>0,00</v>
      </c>
      <c r="P1271" s="14"/>
    </row>
    <row r="1272" spans="2:16" ht="63" x14ac:dyDescent="0.25">
      <c r="B1272" s="2">
        <v>1038</v>
      </c>
      <c r="C1272" s="2" t="str">
        <f>"6-15/NOS-90/15"</f>
        <v>6-15/NOS-90/15</v>
      </c>
      <c r="D1272" s="2" t="s">
        <v>28</v>
      </c>
      <c r="E1272" s="2" t="s">
        <v>1250</v>
      </c>
      <c r="F1272" s="2" t="s">
        <v>177</v>
      </c>
      <c r="G1272" s="2" t="str">
        <f>"6-15/NOS-90/15"</f>
        <v>6-15/NOS-90/15</v>
      </c>
      <c r="H1272" s="2" t="str">
        <f t="shared" si="30"/>
        <v>Ugovor - narudžbenica (periodični predmet)</v>
      </c>
      <c r="I1272" s="2" t="s">
        <v>19</v>
      </c>
      <c r="J1272" s="3" t="str">
        <f>"19.726,00"</f>
        <v>19.726,00</v>
      </c>
      <c r="K1272" s="2" t="s">
        <v>736</v>
      </c>
      <c r="L1272" s="2" t="s">
        <v>1364</v>
      </c>
      <c r="M1272" s="2" t="s">
        <v>44</v>
      </c>
      <c r="N1272" s="2" t="str">
        <f>"12.01.2016"</f>
        <v>12.01.2016</v>
      </c>
      <c r="O1272" s="3" t="str">
        <f>"18.809,00"</f>
        <v>18.809,00</v>
      </c>
      <c r="P1272" s="4"/>
    </row>
    <row r="1273" spans="2:16" ht="63" x14ac:dyDescent="0.25">
      <c r="B1273" s="2">
        <v>1039</v>
      </c>
      <c r="C1273" s="2" t="str">
        <f>"1-15/NOS-93/15"</f>
        <v>1-15/NOS-93/15</v>
      </c>
      <c r="D1273" s="2" t="s">
        <v>28</v>
      </c>
      <c r="E1273" s="2" t="s">
        <v>1250</v>
      </c>
      <c r="F1273" s="2" t="s">
        <v>543</v>
      </c>
      <c r="G1273" s="2" t="str">
        <f>"1-15/NOS-93/15"</f>
        <v>1-15/NOS-93/15</v>
      </c>
      <c r="H1273" s="2" t="str">
        <f t="shared" si="30"/>
        <v>Ugovor - narudžbenica (periodični predmet)</v>
      </c>
      <c r="I1273" s="2" t="s">
        <v>19</v>
      </c>
      <c r="J1273" s="3" t="str">
        <f>"20.588,81"</f>
        <v>20.588,81</v>
      </c>
      <c r="K1273" s="2" t="s">
        <v>736</v>
      </c>
      <c r="L1273" s="2" t="s">
        <v>1364</v>
      </c>
      <c r="M1273" s="2" t="s">
        <v>44</v>
      </c>
      <c r="N1273" s="2" t="str">
        <f>"12.01.2016"</f>
        <v>12.01.2016</v>
      </c>
      <c r="O1273" s="3" t="str">
        <f>"18.395,81"</f>
        <v>18.395,81</v>
      </c>
      <c r="P1273" s="4"/>
    </row>
    <row r="1274" spans="2:16" ht="63" x14ac:dyDescent="0.25">
      <c r="B1274" s="2">
        <v>1040</v>
      </c>
      <c r="C1274" s="2" t="str">
        <f>"1-15/NOS-119/15"</f>
        <v>1-15/NOS-119/15</v>
      </c>
      <c r="D1274" s="2" t="s">
        <v>16</v>
      </c>
      <c r="E1274" s="2" t="s">
        <v>1250</v>
      </c>
      <c r="F1274" s="2" t="s">
        <v>455</v>
      </c>
      <c r="G1274" s="2" t="str">
        <f>"1-15/NOS-119/15"</f>
        <v>1-15/NOS-119/15</v>
      </c>
      <c r="H1274" s="2" t="str">
        <f t="shared" si="30"/>
        <v>Ugovor - narudžbenica (periodični predmet)</v>
      </c>
      <c r="I1274" s="2" t="s">
        <v>19</v>
      </c>
      <c r="J1274" s="3" t="str">
        <f>"15.926,57"</f>
        <v>15.926,57</v>
      </c>
      <c r="K1274" s="2" t="s">
        <v>736</v>
      </c>
      <c r="L1274" s="2" t="s">
        <v>1364</v>
      </c>
      <c r="M1274" s="2" t="s">
        <v>458</v>
      </c>
      <c r="N1274" s="2" t="str">
        <f>"19.11.2015"</f>
        <v>19.11.2015</v>
      </c>
      <c r="O1274" s="3" t="str">
        <f>"15.926,57"</f>
        <v>15.926,57</v>
      </c>
      <c r="P1274" s="4"/>
    </row>
    <row r="1275" spans="2:16" ht="63" x14ac:dyDescent="0.25">
      <c r="B1275" s="2">
        <v>1041</v>
      </c>
      <c r="C1275" s="2" t="str">
        <f>"11-15/NOS-121-C/14"</f>
        <v>11-15/NOS-121-C/14</v>
      </c>
      <c r="D1275" s="2" t="s">
        <v>16</v>
      </c>
      <c r="E1275" s="2" t="s">
        <v>1250</v>
      </c>
      <c r="F1275" s="2" t="s">
        <v>1316</v>
      </c>
      <c r="G1275" s="2" t="str">
        <f>"11-15/NOS-121-C/14"</f>
        <v>11-15/NOS-121-C/14</v>
      </c>
      <c r="H1275" s="2" t="str">
        <f t="shared" si="30"/>
        <v>Ugovor - narudžbenica (periodični predmet)</v>
      </c>
      <c r="I1275" s="2" t="s">
        <v>19</v>
      </c>
      <c r="J1275" s="3" t="str">
        <f>"38.844,00"</f>
        <v>38.844,00</v>
      </c>
      <c r="K1275" s="2" t="s">
        <v>736</v>
      </c>
      <c r="L1275" s="2" t="s">
        <v>1364</v>
      </c>
      <c r="M1275" s="2" t="s">
        <v>599</v>
      </c>
      <c r="N1275" s="2" t="str">
        <f>"20.10.2015"</f>
        <v>20.10.2015</v>
      </c>
      <c r="O1275" s="3" t="str">
        <f>"38.844,00"</f>
        <v>38.844,00</v>
      </c>
      <c r="P1275" s="4"/>
    </row>
    <row r="1276" spans="2:16" ht="63" x14ac:dyDescent="0.25">
      <c r="B1276" s="2">
        <v>1042</v>
      </c>
      <c r="C1276" s="2" t="str">
        <f>"17-15/NOS-111/11"</f>
        <v>17-15/NOS-111/11</v>
      </c>
      <c r="D1276" s="2" t="s">
        <v>16</v>
      </c>
      <c r="E1276" s="2" t="s">
        <v>1250</v>
      </c>
      <c r="F1276" s="2" t="s">
        <v>1371</v>
      </c>
      <c r="G1276" s="2" t="str">
        <f>"17-15/NOS-111/11"</f>
        <v>17-15/NOS-111/11</v>
      </c>
      <c r="H1276" s="2" t="str">
        <f t="shared" si="30"/>
        <v>Ugovor - narudžbenica (periodični predmet)</v>
      </c>
      <c r="I1276" s="2" t="s">
        <v>19</v>
      </c>
      <c r="J1276" s="3" t="str">
        <f>"39.600,00"</f>
        <v>39.600,00</v>
      </c>
      <c r="K1276" s="2" t="s">
        <v>736</v>
      </c>
      <c r="L1276" s="2" t="s">
        <v>1363</v>
      </c>
      <c r="M1276" s="2" t="s">
        <v>1372</v>
      </c>
      <c r="N1276" s="2" t="str">
        <f>"01.10.2015"</f>
        <v>01.10.2015</v>
      </c>
      <c r="O1276" s="3" t="str">
        <f>"39.600,00"</f>
        <v>39.600,00</v>
      </c>
      <c r="P1276" s="4"/>
    </row>
    <row r="1277" spans="2:16" ht="63" x14ac:dyDescent="0.25">
      <c r="B1277" s="2">
        <v>1043</v>
      </c>
      <c r="C1277" s="2" t="str">
        <f>"36-15/NOS-29/12"</f>
        <v>36-15/NOS-29/12</v>
      </c>
      <c r="D1277" s="2" t="s">
        <v>85</v>
      </c>
      <c r="E1277" s="2" t="s">
        <v>1250</v>
      </c>
      <c r="F1277" s="2" t="s">
        <v>1269</v>
      </c>
      <c r="G1277" s="2" t="str">
        <f>"36-15/NOS-29/12"</f>
        <v>36-15/NOS-29/12</v>
      </c>
      <c r="H1277" s="2" t="str">
        <f t="shared" si="30"/>
        <v>Ugovor - narudžbenica (periodični predmet)</v>
      </c>
      <c r="I1277" s="2" t="s">
        <v>19</v>
      </c>
      <c r="J1277" s="3" t="str">
        <f>"83.642,73"</f>
        <v>83.642,73</v>
      </c>
      <c r="K1277" s="2" t="s">
        <v>736</v>
      </c>
      <c r="L1277" s="2" t="s">
        <v>1367</v>
      </c>
      <c r="M1277" s="2" t="s">
        <v>572</v>
      </c>
      <c r="N1277" s="2" t="str">
        <f>"01.12.2015"</f>
        <v>01.12.2015</v>
      </c>
      <c r="O1277" s="3" t="str">
        <f>"74.032,96"</f>
        <v>74.032,96</v>
      </c>
      <c r="P1277" s="4"/>
    </row>
    <row r="1278" spans="2:16" ht="63" x14ac:dyDescent="0.25">
      <c r="B1278" s="2">
        <v>1044</v>
      </c>
      <c r="C1278" s="2" t="str">
        <f>"6-15/NOS-39/15"</f>
        <v>6-15/NOS-39/15</v>
      </c>
      <c r="D1278" s="2" t="s">
        <v>16</v>
      </c>
      <c r="E1278" s="2" t="s">
        <v>1250</v>
      </c>
      <c r="F1278" s="2" t="s">
        <v>300</v>
      </c>
      <c r="G1278" s="2" t="str">
        <f>"6-15/NOS-39/15"</f>
        <v>6-15/NOS-39/15</v>
      </c>
      <c r="H1278" s="2" t="str">
        <f t="shared" si="30"/>
        <v>Ugovor - narudžbenica (periodični predmet)</v>
      </c>
      <c r="I1278" s="2" t="s">
        <v>19</v>
      </c>
      <c r="J1278" s="3" t="str">
        <f>"4.964,40"</f>
        <v>4.964,40</v>
      </c>
      <c r="K1278" s="2" t="s">
        <v>1121</v>
      </c>
      <c r="L1278" s="2" t="s">
        <v>1370</v>
      </c>
      <c r="M1278" s="2" t="s">
        <v>303</v>
      </c>
      <c r="N1278" s="2" t="str">
        <f>"22.10.2015"</f>
        <v>22.10.2015</v>
      </c>
      <c r="O1278" s="3" t="str">
        <f>"4.846,20"</f>
        <v>4.846,20</v>
      </c>
      <c r="P1278" s="4"/>
    </row>
    <row r="1279" spans="2:16" s="19" customFormat="1" ht="63" x14ac:dyDescent="0.25">
      <c r="B1279" s="16">
        <v>1045</v>
      </c>
      <c r="C1279" s="16" t="str">
        <f>"9-15/NOS-67/14"</f>
        <v>9-15/NOS-67/14</v>
      </c>
      <c r="D1279" s="16" t="s">
        <v>16</v>
      </c>
      <c r="E1279" s="16" t="s">
        <v>1250</v>
      </c>
      <c r="F1279" s="16" t="s">
        <v>1314</v>
      </c>
      <c r="G1279" s="16" t="str">
        <f>"9-15/NOS-67/14"</f>
        <v>9-15/NOS-67/14</v>
      </c>
      <c r="H1279" s="16" t="str">
        <f t="shared" si="30"/>
        <v>Ugovor - narudžbenica (periodični predmet)</v>
      </c>
      <c r="I1279" s="16" t="s">
        <v>19</v>
      </c>
      <c r="J1279" s="17" t="str">
        <f>"7.439,40"</f>
        <v>7.439,40</v>
      </c>
      <c r="K1279" s="16" t="s">
        <v>1121</v>
      </c>
      <c r="L1279" s="16" t="s">
        <v>1370</v>
      </c>
      <c r="M1279" s="16" t="s">
        <v>44</v>
      </c>
      <c r="N1279" s="16" t="str">
        <f>"25.11.2015"</f>
        <v>25.11.2015</v>
      </c>
      <c r="O1279" s="17" t="str">
        <f>"7.448,29"</f>
        <v>7.448,29</v>
      </c>
      <c r="P1279" s="16" t="s">
        <v>699</v>
      </c>
    </row>
    <row r="1280" spans="2:16" ht="63" x14ac:dyDescent="0.25">
      <c r="B1280" s="2">
        <v>1046</v>
      </c>
      <c r="C1280" s="2" t="str">
        <f>"5-15/NOS-69/15"</f>
        <v>5-15/NOS-69/15</v>
      </c>
      <c r="D1280" s="2" t="s">
        <v>16</v>
      </c>
      <c r="E1280" s="2" t="s">
        <v>1250</v>
      </c>
      <c r="F1280" s="2" t="s">
        <v>268</v>
      </c>
      <c r="G1280" s="2" t="str">
        <f>"5-15/NOS-69/15"</f>
        <v>5-15/NOS-69/15</v>
      </c>
      <c r="H1280" s="2" t="str">
        <f t="shared" si="30"/>
        <v>Ugovor - narudžbenica (periodični predmet)</v>
      </c>
      <c r="I1280" s="2" t="s">
        <v>19</v>
      </c>
      <c r="J1280" s="3" t="str">
        <f>"37.738,20"</f>
        <v>37.738,20</v>
      </c>
      <c r="K1280" s="2" t="s">
        <v>1121</v>
      </c>
      <c r="L1280" s="2" t="s">
        <v>1370</v>
      </c>
      <c r="M1280" s="2" t="s">
        <v>270</v>
      </c>
      <c r="N1280" s="2" t="str">
        <f>"11.11.2015"</f>
        <v>11.11.2015</v>
      </c>
      <c r="O1280" s="3" t="str">
        <f>"37.738,20"</f>
        <v>37.738,20</v>
      </c>
      <c r="P1280" s="4"/>
    </row>
    <row r="1281" spans="2:16" ht="63" x14ac:dyDescent="0.25">
      <c r="B1281" s="2">
        <v>1047</v>
      </c>
      <c r="C1281" s="2" t="str">
        <f>"1-15/NOS-75-H/15"</f>
        <v>1-15/NOS-75-H/15</v>
      </c>
      <c r="D1281" s="2" t="s">
        <v>85</v>
      </c>
      <c r="E1281" s="2" t="s">
        <v>1250</v>
      </c>
      <c r="F1281" s="2" t="s">
        <v>1337</v>
      </c>
      <c r="G1281" s="2" t="str">
        <f>"1-15/NOS-75-H/15"</f>
        <v>1-15/NOS-75-H/15</v>
      </c>
      <c r="H1281" s="2" t="str">
        <f t="shared" si="30"/>
        <v>Ugovor - narudžbenica (periodični predmet)</v>
      </c>
      <c r="I1281" s="2" t="s">
        <v>19</v>
      </c>
      <c r="J1281" s="3" t="str">
        <f>"33.296,00"</f>
        <v>33.296,00</v>
      </c>
      <c r="K1281" s="2" t="s">
        <v>1121</v>
      </c>
      <c r="L1281" s="2" t="s">
        <v>1370</v>
      </c>
      <c r="M1281" s="2" t="s">
        <v>612</v>
      </c>
      <c r="N1281" s="2" t="str">
        <f>"12.01.2016"</f>
        <v>12.01.2016</v>
      </c>
      <c r="O1281" s="3" t="str">
        <f>"33.296,00"</f>
        <v>33.296,00</v>
      </c>
      <c r="P1281" s="4"/>
    </row>
    <row r="1282" spans="2:16" ht="63" x14ac:dyDescent="0.25">
      <c r="B1282" s="2">
        <v>1048</v>
      </c>
      <c r="C1282" s="2" t="str">
        <f>"2-15/NOS-75-E/15"</f>
        <v>2-15/NOS-75-E/15</v>
      </c>
      <c r="D1282" s="2" t="s">
        <v>85</v>
      </c>
      <c r="E1282" s="2" t="s">
        <v>1250</v>
      </c>
      <c r="F1282" s="2" t="s">
        <v>1337</v>
      </c>
      <c r="G1282" s="2" t="str">
        <f>"2-15/NOS-75-E/15"</f>
        <v>2-15/NOS-75-E/15</v>
      </c>
      <c r="H1282" s="2" t="str">
        <f t="shared" si="30"/>
        <v>Ugovor - narudžbenica (periodični predmet)</v>
      </c>
      <c r="I1282" s="2" t="s">
        <v>19</v>
      </c>
      <c r="J1282" s="3" t="str">
        <f>"3.560,00"</f>
        <v>3.560,00</v>
      </c>
      <c r="K1282" s="2" t="s">
        <v>1121</v>
      </c>
      <c r="L1282" s="2" t="s">
        <v>1370</v>
      </c>
      <c r="M1282" s="2" t="s">
        <v>649</v>
      </c>
      <c r="N1282" s="2" t="str">
        <f>"13.11.2015"</f>
        <v>13.11.2015</v>
      </c>
      <c r="O1282" s="3" t="str">
        <f>"3.560,00"</f>
        <v>3.560,00</v>
      </c>
      <c r="P1282" s="4"/>
    </row>
    <row r="1283" spans="2:16" ht="63" x14ac:dyDescent="0.25">
      <c r="B1283" s="2">
        <v>1049</v>
      </c>
      <c r="C1283" s="2" t="str">
        <f>"3-15/NOS-75-I/15"</f>
        <v>3-15/NOS-75-I/15</v>
      </c>
      <c r="D1283" s="2" t="s">
        <v>16</v>
      </c>
      <c r="E1283" s="2" t="s">
        <v>1250</v>
      </c>
      <c r="F1283" s="2" t="s">
        <v>1337</v>
      </c>
      <c r="G1283" s="2" t="str">
        <f>"3-15/NOS-75-I/15"</f>
        <v>3-15/NOS-75-I/15</v>
      </c>
      <c r="H1283" s="2" t="str">
        <f t="shared" si="30"/>
        <v>Ugovor - narudžbenica (periodični predmet)</v>
      </c>
      <c r="I1283" s="2" t="s">
        <v>19</v>
      </c>
      <c r="J1283" s="3" t="str">
        <f>"17.816,00"</f>
        <v>17.816,00</v>
      </c>
      <c r="K1283" s="2" t="s">
        <v>1121</v>
      </c>
      <c r="L1283" s="2" t="s">
        <v>1370</v>
      </c>
      <c r="M1283" s="2" t="s">
        <v>612</v>
      </c>
      <c r="N1283" s="2" t="str">
        <f>"26.11.2015"</f>
        <v>26.11.2015</v>
      </c>
      <c r="O1283" s="3" t="str">
        <f>"17.816,00"</f>
        <v>17.816,00</v>
      </c>
      <c r="P1283" s="4"/>
    </row>
    <row r="1284" spans="2:16" ht="63" x14ac:dyDescent="0.25">
      <c r="B1284" s="2">
        <v>1050</v>
      </c>
      <c r="C1284" s="2" t="str">
        <f>"4-15/NOS-75-F/15"</f>
        <v>4-15/NOS-75-F/15</v>
      </c>
      <c r="D1284" s="2" t="s">
        <v>85</v>
      </c>
      <c r="E1284" s="2" t="s">
        <v>1250</v>
      </c>
      <c r="F1284" s="2" t="s">
        <v>1337</v>
      </c>
      <c r="G1284" s="2" t="str">
        <f>"4-15/NOS-75-F/15"</f>
        <v>4-15/NOS-75-F/15</v>
      </c>
      <c r="H1284" s="2" t="str">
        <f t="shared" si="30"/>
        <v>Ugovor - narudžbenica (periodični predmet)</v>
      </c>
      <c r="I1284" s="2" t="s">
        <v>19</v>
      </c>
      <c r="J1284" s="3" t="str">
        <f>"177.570,00"</f>
        <v>177.570,00</v>
      </c>
      <c r="K1284" s="2" t="s">
        <v>1121</v>
      </c>
      <c r="L1284" s="2" t="s">
        <v>1370</v>
      </c>
      <c r="M1284" s="2" t="s">
        <v>218</v>
      </c>
      <c r="N1284" s="2" t="str">
        <f>"07.12.2015"</f>
        <v>07.12.2015</v>
      </c>
      <c r="O1284" s="3" t="str">
        <f>"177.570,00"</f>
        <v>177.570,00</v>
      </c>
      <c r="P1284" s="4"/>
    </row>
    <row r="1285" spans="2:16" ht="63" x14ac:dyDescent="0.25">
      <c r="B1285" s="2">
        <v>1051</v>
      </c>
      <c r="C1285" s="2" t="str">
        <f>"11-15/NOS-90/14"</f>
        <v>11-15/NOS-90/14</v>
      </c>
      <c r="D1285" s="2" t="s">
        <v>16</v>
      </c>
      <c r="E1285" s="2" t="s">
        <v>1250</v>
      </c>
      <c r="F1285" s="2" t="s">
        <v>1274</v>
      </c>
      <c r="G1285" s="2" t="str">
        <f>"11-15/NOS-90/14"</f>
        <v>11-15/NOS-90/14</v>
      </c>
      <c r="H1285" s="2" t="str">
        <f t="shared" si="30"/>
        <v>Ugovor - narudžbenica (periodični predmet)</v>
      </c>
      <c r="I1285" s="2" t="s">
        <v>19</v>
      </c>
      <c r="J1285" s="3" t="str">
        <f>"22.048,00"</f>
        <v>22.048,00</v>
      </c>
      <c r="K1285" s="2" t="s">
        <v>1121</v>
      </c>
      <c r="L1285" s="2" t="s">
        <v>1370</v>
      </c>
      <c r="M1285" s="2" t="s">
        <v>419</v>
      </c>
      <c r="N1285" s="2" t="str">
        <f>"19.10.2015"</f>
        <v>19.10.2015</v>
      </c>
      <c r="O1285" s="3" t="str">
        <f>"21.772,40"</f>
        <v>21.772,40</v>
      </c>
      <c r="P1285" s="4"/>
    </row>
    <row r="1286" spans="2:16" ht="63" x14ac:dyDescent="0.25">
      <c r="B1286" s="2">
        <v>1052</v>
      </c>
      <c r="C1286" s="2" t="str">
        <f>"7-15/NOS-104/14"</f>
        <v>7-15/NOS-104/14</v>
      </c>
      <c r="D1286" s="2" t="s">
        <v>16</v>
      </c>
      <c r="E1286" s="2" t="s">
        <v>1250</v>
      </c>
      <c r="F1286" s="2" t="s">
        <v>37</v>
      </c>
      <c r="G1286" s="2" t="str">
        <f>"7-15/NOS-104/14"</f>
        <v>7-15/NOS-104/14</v>
      </c>
      <c r="H1286" s="2" t="str">
        <f t="shared" ref="H1286:H1348" si="31">"Ugovor - narudžbenica (periodični predmet)"</f>
        <v>Ugovor - narudžbenica (periodični predmet)</v>
      </c>
      <c r="I1286" s="2" t="s">
        <v>19</v>
      </c>
      <c r="J1286" s="3" t="str">
        <f>"3.225,00"</f>
        <v>3.225,00</v>
      </c>
      <c r="K1286" s="2" t="s">
        <v>1121</v>
      </c>
      <c r="L1286" s="2" t="s">
        <v>1370</v>
      </c>
      <c r="M1286" s="2" t="s">
        <v>40</v>
      </c>
      <c r="N1286" s="2" t="str">
        <f>"02.11.2015"</f>
        <v>02.11.2015</v>
      </c>
      <c r="O1286" s="3" t="str">
        <f>"2.125,00"</f>
        <v>2.125,00</v>
      </c>
      <c r="P1286" s="4"/>
    </row>
    <row r="1287" spans="2:16" ht="63" x14ac:dyDescent="0.25">
      <c r="B1287" s="2">
        <v>1053</v>
      </c>
      <c r="C1287" s="2" t="str">
        <f>"2-15/NOS-110/15"</f>
        <v>2-15/NOS-110/15</v>
      </c>
      <c r="D1287" s="2" t="s">
        <v>16</v>
      </c>
      <c r="E1287" s="2" t="s">
        <v>1250</v>
      </c>
      <c r="F1287" s="2" t="s">
        <v>463</v>
      </c>
      <c r="G1287" s="2" t="str">
        <f>"2-15/NOS-110/15"</f>
        <v>2-15/NOS-110/15</v>
      </c>
      <c r="H1287" s="2" t="str">
        <f t="shared" si="31"/>
        <v>Ugovor - narudžbenica (periodični predmet)</v>
      </c>
      <c r="I1287" s="2" t="s">
        <v>19</v>
      </c>
      <c r="J1287" s="3" t="str">
        <f>"2.215,19"</f>
        <v>2.215,19</v>
      </c>
      <c r="K1287" s="2" t="s">
        <v>1125</v>
      </c>
      <c r="L1287" s="2" t="s">
        <v>1370</v>
      </c>
      <c r="M1287" s="2" t="s">
        <v>44</v>
      </c>
      <c r="N1287" s="2" t="str">
        <f>"29.12.2015"</f>
        <v>29.12.2015</v>
      </c>
      <c r="O1287" s="3" t="str">
        <f>"2.215,19"</f>
        <v>2.215,19</v>
      </c>
      <c r="P1287" s="4"/>
    </row>
    <row r="1288" spans="2:16" ht="63" x14ac:dyDescent="0.25">
      <c r="B1288" s="2">
        <v>1054</v>
      </c>
      <c r="C1288" s="2" t="str">
        <f>"11-15/NOS-112/14"</f>
        <v>11-15/NOS-112/14</v>
      </c>
      <c r="D1288" s="2" t="s">
        <v>16</v>
      </c>
      <c r="E1288" s="2" t="s">
        <v>1250</v>
      </c>
      <c r="F1288" s="2" t="s">
        <v>77</v>
      </c>
      <c r="G1288" s="2" t="str">
        <f>"11-15/NOS-112/14"</f>
        <v>11-15/NOS-112/14</v>
      </c>
      <c r="H1288" s="2" t="str">
        <f t="shared" si="31"/>
        <v>Ugovor - narudžbenica (periodični predmet)</v>
      </c>
      <c r="I1288" s="2" t="s">
        <v>19</v>
      </c>
      <c r="J1288" s="3" t="str">
        <f>"13.600,00"</f>
        <v>13.600,00</v>
      </c>
      <c r="K1288" s="2" t="s">
        <v>1125</v>
      </c>
      <c r="L1288" s="2" t="s">
        <v>1370</v>
      </c>
      <c r="M1288" s="2" t="s">
        <v>80</v>
      </c>
      <c r="N1288" s="2" t="str">
        <f>"09.11.2015"</f>
        <v>09.11.2015</v>
      </c>
      <c r="O1288" s="3" t="str">
        <f>"13.600,00"</f>
        <v>13.600,00</v>
      </c>
      <c r="P1288" s="4"/>
    </row>
    <row r="1289" spans="2:16" ht="63" x14ac:dyDescent="0.25">
      <c r="B1289" s="2">
        <v>1055</v>
      </c>
      <c r="C1289" s="2" t="str">
        <f>"10-15/NOS-118/14"</f>
        <v>10-15/NOS-118/14</v>
      </c>
      <c r="D1289" s="2" t="s">
        <v>85</v>
      </c>
      <c r="E1289" s="2" t="s">
        <v>1250</v>
      </c>
      <c r="F1289" s="2" t="s">
        <v>86</v>
      </c>
      <c r="G1289" s="2" t="str">
        <f>"10-15/NOS-118/14"</f>
        <v>10-15/NOS-118/14</v>
      </c>
      <c r="H1289" s="2" t="str">
        <f t="shared" si="31"/>
        <v>Ugovor - narudžbenica (periodični predmet)</v>
      </c>
      <c r="I1289" s="2" t="s">
        <v>19</v>
      </c>
      <c r="J1289" s="3" t="str">
        <f>"34.186,00"</f>
        <v>34.186,00</v>
      </c>
      <c r="K1289" s="2" t="s">
        <v>1125</v>
      </c>
      <c r="L1289" s="2" t="s">
        <v>1370</v>
      </c>
      <c r="M1289" s="2" t="s">
        <v>84</v>
      </c>
      <c r="N1289" s="2" t="str">
        <f>"04.12.2015"</f>
        <v>04.12.2015</v>
      </c>
      <c r="O1289" s="3" t="str">
        <f>"34.186,00"</f>
        <v>34.186,00</v>
      </c>
      <c r="P1289" s="4"/>
    </row>
    <row r="1290" spans="2:16" ht="63" x14ac:dyDescent="0.25">
      <c r="B1290" s="2">
        <v>1056</v>
      </c>
      <c r="C1290" s="2" t="str">
        <f>"8-15/NOS-203/13"</f>
        <v>8-15/NOS-203/13</v>
      </c>
      <c r="D1290" s="2" t="s">
        <v>16</v>
      </c>
      <c r="E1290" s="2" t="s">
        <v>1250</v>
      </c>
      <c r="F1290" s="2" t="s">
        <v>1303</v>
      </c>
      <c r="G1290" s="2" t="str">
        <f>"8-15/NOS-203/13"</f>
        <v>8-15/NOS-203/13</v>
      </c>
      <c r="H1290" s="2" t="str">
        <f t="shared" si="31"/>
        <v>Ugovor - narudžbenica (periodični predmet)</v>
      </c>
      <c r="I1290" s="2" t="s">
        <v>19</v>
      </c>
      <c r="J1290" s="3" t="str">
        <f>"28.162,76"</f>
        <v>28.162,76</v>
      </c>
      <c r="K1290" s="2" t="s">
        <v>1125</v>
      </c>
      <c r="L1290" s="2" t="s">
        <v>1370</v>
      </c>
      <c r="M1290" s="2" t="s">
        <v>1305</v>
      </c>
      <c r="N1290" s="2" t="str">
        <f>"21.10.2015"</f>
        <v>21.10.2015</v>
      </c>
      <c r="O1290" s="3" t="str">
        <f>"28.162,76"</f>
        <v>28.162,76</v>
      </c>
      <c r="P1290" s="4"/>
    </row>
    <row r="1291" spans="2:16" ht="63" x14ac:dyDescent="0.25">
      <c r="B1291" s="2">
        <v>1057</v>
      </c>
      <c r="C1291" s="2" t="str">
        <f>"4-15/NOS-210-C/13"</f>
        <v>4-15/NOS-210-C/13</v>
      </c>
      <c r="D1291" s="2" t="s">
        <v>85</v>
      </c>
      <c r="E1291" s="2" t="s">
        <v>1250</v>
      </c>
      <c r="F1291" s="2" t="s">
        <v>1294</v>
      </c>
      <c r="G1291" s="2" t="str">
        <f>"4-15/NOS-210-C/13"</f>
        <v>4-15/NOS-210-C/13</v>
      </c>
      <c r="H1291" s="2" t="str">
        <f t="shared" si="31"/>
        <v>Ugovor - narudžbenica (periodični predmet)</v>
      </c>
      <c r="I1291" s="2" t="s">
        <v>19</v>
      </c>
      <c r="J1291" s="3" t="str">
        <f>"9.450,00"</f>
        <v>9.450,00</v>
      </c>
      <c r="K1291" s="2" t="s">
        <v>1125</v>
      </c>
      <c r="L1291" s="2" t="s">
        <v>1370</v>
      </c>
      <c r="M1291" s="2" t="s">
        <v>84</v>
      </c>
      <c r="N1291" s="2" t="str">
        <f>"23.10.2015"</f>
        <v>23.10.2015</v>
      </c>
      <c r="O1291" s="3" t="str">
        <f>"9.450,00"</f>
        <v>9.450,00</v>
      </c>
      <c r="P1291" s="4"/>
    </row>
    <row r="1292" spans="2:16" ht="63" x14ac:dyDescent="0.25">
      <c r="B1292" s="2">
        <v>1058</v>
      </c>
      <c r="C1292" s="2" t="str">
        <f>"12-15/NOS-210-A/13"</f>
        <v>12-15/NOS-210-A/13</v>
      </c>
      <c r="D1292" s="2" t="s">
        <v>85</v>
      </c>
      <c r="E1292" s="2" t="s">
        <v>1250</v>
      </c>
      <c r="F1292" s="2" t="s">
        <v>1294</v>
      </c>
      <c r="G1292" s="2" t="str">
        <f>"12-15/NOS-210-A/13"</f>
        <v>12-15/NOS-210-A/13</v>
      </c>
      <c r="H1292" s="2" t="str">
        <f t="shared" si="31"/>
        <v>Ugovor - narudžbenica (periodični predmet)</v>
      </c>
      <c r="I1292" s="2" t="s">
        <v>19</v>
      </c>
      <c r="J1292" s="3" t="str">
        <f>"10.340,00"</f>
        <v>10.340,00</v>
      </c>
      <c r="K1292" s="2" t="s">
        <v>1125</v>
      </c>
      <c r="L1292" s="2" t="s">
        <v>1370</v>
      </c>
      <c r="M1292" s="2" t="s">
        <v>89</v>
      </c>
      <c r="N1292" s="2" t="str">
        <f>"16.11.2015"</f>
        <v>16.11.2015</v>
      </c>
      <c r="O1292" s="3" t="str">
        <f>"10.340,00"</f>
        <v>10.340,00</v>
      </c>
      <c r="P1292" s="4"/>
    </row>
    <row r="1293" spans="2:16" ht="63" x14ac:dyDescent="0.25">
      <c r="B1293" s="2">
        <v>1059</v>
      </c>
      <c r="C1293" s="2" t="str">
        <f>"6-15/NOS-75-A/15"</f>
        <v>6-15/NOS-75-A/15</v>
      </c>
      <c r="D1293" s="2" t="s">
        <v>28</v>
      </c>
      <c r="E1293" s="2" t="s">
        <v>1250</v>
      </c>
      <c r="F1293" s="2" t="s">
        <v>1337</v>
      </c>
      <c r="G1293" s="2" t="str">
        <f>"6-15/NOS-75-A/15"</f>
        <v>6-15/NOS-75-A/15</v>
      </c>
      <c r="H1293" s="2" t="str">
        <f t="shared" si="31"/>
        <v>Ugovor - narudžbenica (periodični predmet)</v>
      </c>
      <c r="I1293" s="2" t="s">
        <v>19</v>
      </c>
      <c r="J1293" s="3" t="str">
        <f>"387.450,00"</f>
        <v>387.450,00</v>
      </c>
      <c r="K1293" s="2" t="s">
        <v>1125</v>
      </c>
      <c r="L1293" s="2" t="s">
        <v>1370</v>
      </c>
      <c r="M1293" s="2" t="s">
        <v>218</v>
      </c>
      <c r="N1293" s="2" t="str">
        <f>"16.12.2015"</f>
        <v>16.12.2015</v>
      </c>
      <c r="O1293" s="3" t="str">
        <f>"347.050,00"</f>
        <v>347.050,00</v>
      </c>
      <c r="P1293" s="4"/>
    </row>
    <row r="1294" spans="2:16" ht="63" x14ac:dyDescent="0.25">
      <c r="B1294" s="2">
        <v>1060</v>
      </c>
      <c r="C1294" s="2" t="str">
        <f>"4-15/NOS-69/15"</f>
        <v>4-15/NOS-69/15</v>
      </c>
      <c r="D1294" s="2" t="s">
        <v>16</v>
      </c>
      <c r="E1294" s="2" t="s">
        <v>1250</v>
      </c>
      <c r="F1294" s="2" t="s">
        <v>268</v>
      </c>
      <c r="G1294" s="2" t="str">
        <f>"4-15/NOS-69/15"</f>
        <v>4-15/NOS-69/15</v>
      </c>
      <c r="H1294" s="2" t="str">
        <f t="shared" si="31"/>
        <v>Ugovor - narudžbenica (periodični predmet)</v>
      </c>
      <c r="I1294" s="2" t="s">
        <v>19</v>
      </c>
      <c r="J1294" s="3" t="str">
        <f>"1.836,00"</f>
        <v>1.836,00</v>
      </c>
      <c r="K1294" s="2" t="s">
        <v>478</v>
      </c>
      <c r="L1294" s="2" t="s">
        <v>1364</v>
      </c>
      <c r="M1294" s="2" t="s">
        <v>269</v>
      </c>
      <c r="N1294" s="2" t="str">
        <f>"26.10.2015"</f>
        <v>26.10.2015</v>
      </c>
      <c r="O1294" s="3" t="str">
        <f>"1.836,00"</f>
        <v>1.836,00</v>
      </c>
      <c r="P1294" s="4"/>
    </row>
    <row r="1295" spans="2:16" ht="63" x14ac:dyDescent="0.25">
      <c r="B1295" s="2">
        <v>1061</v>
      </c>
      <c r="C1295" s="2" t="str">
        <f>"3-15/NOS-97-A/15"</f>
        <v>3-15/NOS-97-A/15</v>
      </c>
      <c r="D1295" s="2" t="s">
        <v>16</v>
      </c>
      <c r="E1295" s="2" t="s">
        <v>1250</v>
      </c>
      <c r="F1295" s="2" t="s">
        <v>1271</v>
      </c>
      <c r="G1295" s="2" t="str">
        <f>"3-15/NOS-97-A/15"</f>
        <v>3-15/NOS-97-A/15</v>
      </c>
      <c r="H1295" s="2" t="str">
        <f t="shared" si="31"/>
        <v>Ugovor - narudžbenica (periodični predmet)</v>
      </c>
      <c r="I1295" s="2" t="s">
        <v>19</v>
      </c>
      <c r="J1295" s="3" t="str">
        <f>"4.875,00"</f>
        <v>4.875,00</v>
      </c>
      <c r="K1295" s="2" t="s">
        <v>687</v>
      </c>
      <c r="L1295" s="2" t="s">
        <v>1370</v>
      </c>
      <c r="M1295" s="2" t="s">
        <v>44</v>
      </c>
      <c r="N1295" s="2" t="str">
        <f>"05.11.2015"</f>
        <v>05.11.2015</v>
      </c>
      <c r="O1295" s="3" t="str">
        <f>"4.856,07"</f>
        <v>4.856,07</v>
      </c>
      <c r="P1295" s="4"/>
    </row>
    <row r="1296" spans="2:16" ht="63" x14ac:dyDescent="0.25">
      <c r="B1296" s="2">
        <v>1062</v>
      </c>
      <c r="C1296" s="2" t="str">
        <f>"11-15/NOS-183/13"</f>
        <v>11-15/NOS-183/13</v>
      </c>
      <c r="D1296" s="2" t="s">
        <v>28</v>
      </c>
      <c r="E1296" s="2" t="s">
        <v>1250</v>
      </c>
      <c r="F1296" s="2" t="s">
        <v>1292</v>
      </c>
      <c r="G1296" s="2" t="str">
        <f>"11-15/NOS-183/13"</f>
        <v>11-15/NOS-183/13</v>
      </c>
      <c r="H1296" s="2" t="str">
        <f t="shared" si="31"/>
        <v>Ugovor - narudžbenica (periodični predmet)</v>
      </c>
      <c r="I1296" s="2" t="s">
        <v>19</v>
      </c>
      <c r="J1296" s="3" t="str">
        <f>"5.515,80"</f>
        <v>5.515,80</v>
      </c>
      <c r="K1296" s="2" t="s">
        <v>687</v>
      </c>
      <c r="L1296" s="2" t="s">
        <v>1370</v>
      </c>
      <c r="M1296" s="2" t="s">
        <v>1293</v>
      </c>
      <c r="N1296" s="2" t="str">
        <f>"16.11.2015"</f>
        <v>16.11.2015</v>
      </c>
      <c r="O1296" s="3" t="str">
        <f>"5.515,80"</f>
        <v>5.515,80</v>
      </c>
      <c r="P1296" s="4"/>
    </row>
    <row r="1297" spans="2:16" s="19" customFormat="1" ht="63" x14ac:dyDescent="0.25">
      <c r="B1297" s="16">
        <v>1063</v>
      </c>
      <c r="C1297" s="16" t="str">
        <f>"17-15/NOS-205/13"</f>
        <v>17-15/NOS-205/13</v>
      </c>
      <c r="D1297" s="16" t="s">
        <v>28</v>
      </c>
      <c r="E1297" s="16" t="s">
        <v>1250</v>
      </c>
      <c r="F1297" s="16" t="s">
        <v>1290</v>
      </c>
      <c r="G1297" s="16" t="str">
        <f>"17-15/NOS-205/13"</f>
        <v>17-15/NOS-205/13</v>
      </c>
      <c r="H1297" s="16" t="str">
        <f t="shared" si="31"/>
        <v>Ugovor - narudžbenica (periodični predmet)</v>
      </c>
      <c r="I1297" s="16" t="s">
        <v>19</v>
      </c>
      <c r="J1297" s="17" t="str">
        <f>"1.485,50"</f>
        <v>1.485,50</v>
      </c>
      <c r="K1297" s="16" t="s">
        <v>687</v>
      </c>
      <c r="L1297" s="16" t="s">
        <v>1370</v>
      </c>
      <c r="M1297" s="16" t="s">
        <v>84</v>
      </c>
      <c r="N1297" s="16" t="str">
        <f>"28.10.2015"</f>
        <v>28.10.2015</v>
      </c>
      <c r="O1297" s="17" t="str">
        <f>"1.507,57"</f>
        <v>1.507,57</v>
      </c>
      <c r="P1297" s="16" t="s">
        <v>699</v>
      </c>
    </row>
    <row r="1298" spans="2:16" ht="63" x14ac:dyDescent="0.25">
      <c r="B1298" s="2">
        <v>1064</v>
      </c>
      <c r="C1298" s="2" t="str">
        <f>"7-15/NOS-70/14"</f>
        <v>7-15/NOS-70/14</v>
      </c>
      <c r="D1298" s="2" t="s">
        <v>16</v>
      </c>
      <c r="E1298" s="2" t="s">
        <v>1250</v>
      </c>
      <c r="F1298" s="2" t="s">
        <v>1287</v>
      </c>
      <c r="G1298" s="2" t="str">
        <f>"7-15/NOS-70/14"</f>
        <v>7-15/NOS-70/14</v>
      </c>
      <c r="H1298" s="2" t="str">
        <f t="shared" si="31"/>
        <v>Ugovor - narudžbenica (periodični predmet)</v>
      </c>
      <c r="I1298" s="2" t="s">
        <v>19</v>
      </c>
      <c r="J1298" s="3" t="str">
        <f>"66.917,00"</f>
        <v>66.917,00</v>
      </c>
      <c r="K1298" s="2" t="s">
        <v>687</v>
      </c>
      <c r="L1298" s="2" t="s">
        <v>1370</v>
      </c>
      <c r="M1298" s="2" t="s">
        <v>1288</v>
      </c>
      <c r="N1298" s="2" t="str">
        <f>"18.11.2015"</f>
        <v>18.11.2015</v>
      </c>
      <c r="O1298" s="3" t="str">
        <f>"65.397,00"</f>
        <v>65.397,00</v>
      </c>
      <c r="P1298" s="4"/>
    </row>
    <row r="1299" spans="2:16" ht="63" x14ac:dyDescent="0.25">
      <c r="B1299" s="2">
        <v>1065</v>
      </c>
      <c r="C1299" s="2" t="str">
        <f>"24-15/NOS-102/11"</f>
        <v>24-15/NOS-102/11</v>
      </c>
      <c r="D1299" s="2" t="s">
        <v>16</v>
      </c>
      <c r="E1299" s="2" t="s">
        <v>1250</v>
      </c>
      <c r="F1299" s="2" t="s">
        <v>1357</v>
      </c>
      <c r="G1299" s="2" t="str">
        <f>"24-15/NOS-102/11"</f>
        <v>24-15/NOS-102/11</v>
      </c>
      <c r="H1299" s="2" t="str">
        <f t="shared" si="31"/>
        <v>Ugovor - narudžbenica (periodični predmet)</v>
      </c>
      <c r="I1299" s="2" t="s">
        <v>19</v>
      </c>
      <c r="J1299" s="3" t="str">
        <f>"49.129,20"</f>
        <v>49.129,20</v>
      </c>
      <c r="K1299" s="2" t="s">
        <v>687</v>
      </c>
      <c r="L1299" s="2" t="s">
        <v>1370</v>
      </c>
      <c r="M1299" s="2" t="s">
        <v>454</v>
      </c>
      <c r="N1299" s="2" t="str">
        <f>"13.11.2015"</f>
        <v>13.11.2015</v>
      </c>
      <c r="O1299" s="3" t="str">
        <f>"49.129,20"</f>
        <v>49.129,20</v>
      </c>
      <c r="P1299" s="4"/>
    </row>
    <row r="1300" spans="2:16" s="15" customFormat="1" ht="63" x14ac:dyDescent="0.25">
      <c r="B1300" s="12">
        <v>1066</v>
      </c>
      <c r="C1300" s="12" t="str">
        <f>"28-15/NOS-137/13"</f>
        <v>28-15/NOS-137/13</v>
      </c>
      <c r="D1300" s="12" t="s">
        <v>16</v>
      </c>
      <c r="E1300" s="12" t="s">
        <v>1250</v>
      </c>
      <c r="F1300" s="12" t="s">
        <v>1330</v>
      </c>
      <c r="G1300" s="12" t="str">
        <f>"28-15/NOS-137/13"</f>
        <v>28-15/NOS-137/13</v>
      </c>
      <c r="H1300" s="12" t="str">
        <f t="shared" si="31"/>
        <v>Ugovor - narudžbenica (periodični predmet)</v>
      </c>
      <c r="I1300" s="12" t="s">
        <v>19</v>
      </c>
      <c r="J1300" s="13" t="str">
        <f>"2.415,00"</f>
        <v>2.415,00</v>
      </c>
      <c r="K1300" s="12" t="s">
        <v>687</v>
      </c>
      <c r="L1300" s="12" t="s">
        <v>1373</v>
      </c>
      <c r="M1300" s="12" t="s">
        <v>508</v>
      </c>
      <c r="N1300" s="12" t="s">
        <v>23</v>
      </c>
      <c r="O1300" s="13" t="str">
        <f>"0,00"</f>
        <v>0,00</v>
      </c>
      <c r="P1300" s="14"/>
    </row>
    <row r="1301" spans="2:16" ht="63" x14ac:dyDescent="0.25">
      <c r="B1301" s="2">
        <v>1067</v>
      </c>
      <c r="C1301" s="2" t="str">
        <f>"7-15/NOS-209/13"</f>
        <v>7-15/NOS-209/13</v>
      </c>
      <c r="D1301" s="2" t="s">
        <v>16</v>
      </c>
      <c r="E1301" s="2" t="s">
        <v>1250</v>
      </c>
      <c r="F1301" s="2" t="s">
        <v>1296</v>
      </c>
      <c r="G1301" s="2" t="str">
        <f>"7-15/NOS-209/13"</f>
        <v>7-15/NOS-209/13</v>
      </c>
      <c r="H1301" s="2" t="str">
        <f t="shared" si="31"/>
        <v>Ugovor - narudžbenica (periodični predmet)</v>
      </c>
      <c r="I1301" s="2" t="s">
        <v>19</v>
      </c>
      <c r="J1301" s="3" t="str">
        <f>"333,00"</f>
        <v>333,00</v>
      </c>
      <c r="K1301" s="2" t="s">
        <v>687</v>
      </c>
      <c r="L1301" s="2" t="s">
        <v>1370</v>
      </c>
      <c r="M1301" s="2" t="s">
        <v>111</v>
      </c>
      <c r="N1301" s="2" t="str">
        <f>"22.10.2015"</f>
        <v>22.10.2015</v>
      </c>
      <c r="O1301" s="3" t="str">
        <f>"333,00"</f>
        <v>333,00</v>
      </c>
      <c r="P1301" s="4"/>
    </row>
    <row r="1302" spans="2:16" ht="63" x14ac:dyDescent="0.25">
      <c r="B1302" s="2">
        <v>1068</v>
      </c>
      <c r="C1302" s="2" t="str">
        <f>"20-15/NOS-20/14"</f>
        <v>20-15/NOS-20/14</v>
      </c>
      <c r="D1302" s="2" t="s">
        <v>16</v>
      </c>
      <c r="E1302" s="2" t="s">
        <v>1250</v>
      </c>
      <c r="F1302" s="2" t="s">
        <v>1359</v>
      </c>
      <c r="G1302" s="2" t="str">
        <f>"20-15/NOS-20/14"</f>
        <v>20-15/NOS-20/14</v>
      </c>
      <c r="H1302" s="2" t="str">
        <f t="shared" si="31"/>
        <v>Ugovor - narudžbenica (periodični predmet)</v>
      </c>
      <c r="I1302" s="2" t="s">
        <v>19</v>
      </c>
      <c r="J1302" s="3" t="str">
        <f>"13.464,00"</f>
        <v>13.464,00</v>
      </c>
      <c r="K1302" s="2" t="s">
        <v>1141</v>
      </c>
      <c r="L1302" s="2" t="s">
        <v>1370</v>
      </c>
      <c r="M1302" s="2" t="s">
        <v>1360</v>
      </c>
      <c r="N1302" s="2" t="str">
        <f>"19.10.2015"</f>
        <v>19.10.2015</v>
      </c>
      <c r="O1302" s="3" t="str">
        <f>"13.464,00"</f>
        <v>13.464,00</v>
      </c>
      <c r="P1302" s="4"/>
    </row>
    <row r="1303" spans="2:16" ht="63" x14ac:dyDescent="0.25">
      <c r="B1303" s="2">
        <v>1069</v>
      </c>
      <c r="C1303" s="2" t="str">
        <f>"4-15/NOS-62/15"</f>
        <v>4-15/NOS-62/15</v>
      </c>
      <c r="D1303" s="2" t="s">
        <v>85</v>
      </c>
      <c r="E1303" s="2" t="s">
        <v>1250</v>
      </c>
      <c r="F1303" s="2" t="s">
        <v>211</v>
      </c>
      <c r="G1303" s="2" t="str">
        <f>"4-15/NOS-62/15"</f>
        <v>4-15/NOS-62/15</v>
      </c>
      <c r="H1303" s="2" t="str">
        <f t="shared" si="31"/>
        <v>Ugovor - narudžbenica (periodični predmet)</v>
      </c>
      <c r="I1303" s="2" t="s">
        <v>19</v>
      </c>
      <c r="J1303" s="3" t="str">
        <f>"180.000,00"</f>
        <v>180.000,00</v>
      </c>
      <c r="K1303" s="2" t="s">
        <v>1141</v>
      </c>
      <c r="L1303" s="2" t="s">
        <v>1374</v>
      </c>
      <c r="M1303" s="2" t="s">
        <v>213</v>
      </c>
      <c r="N1303" s="2" t="str">
        <f>"16.12.2015"</f>
        <v>16.12.2015</v>
      </c>
      <c r="O1303" s="3" t="str">
        <f>"180.000,00"</f>
        <v>180.000,00</v>
      </c>
      <c r="P1303" s="4"/>
    </row>
    <row r="1304" spans="2:16" ht="63" x14ac:dyDescent="0.25">
      <c r="B1304" s="2">
        <v>1070</v>
      </c>
      <c r="C1304" s="2" t="str">
        <f>"4-15/NOS-67/15"</f>
        <v>4-15/NOS-67/15</v>
      </c>
      <c r="D1304" s="2" t="s">
        <v>16</v>
      </c>
      <c r="E1304" s="2" t="s">
        <v>1250</v>
      </c>
      <c r="F1304" s="2" t="s">
        <v>511</v>
      </c>
      <c r="G1304" s="2" t="str">
        <f>"4-15/NOS-67/15"</f>
        <v>4-15/NOS-67/15</v>
      </c>
      <c r="H1304" s="2" t="str">
        <f t="shared" si="31"/>
        <v>Ugovor - narudžbenica (periodični predmet)</v>
      </c>
      <c r="I1304" s="2" t="s">
        <v>19</v>
      </c>
      <c r="J1304" s="3" t="str">
        <f>"493,42"</f>
        <v>493,42</v>
      </c>
      <c r="K1304" s="2" t="s">
        <v>1141</v>
      </c>
      <c r="L1304" s="2" t="s">
        <v>1370</v>
      </c>
      <c r="M1304" s="2" t="s">
        <v>512</v>
      </c>
      <c r="N1304" s="2" t="str">
        <f>"18.11.2015"</f>
        <v>18.11.2015</v>
      </c>
      <c r="O1304" s="3" t="str">
        <f>"493,42"</f>
        <v>493,42</v>
      </c>
      <c r="P1304" s="4"/>
    </row>
    <row r="1305" spans="2:16" ht="63" x14ac:dyDescent="0.25">
      <c r="B1305" s="2">
        <v>1071</v>
      </c>
      <c r="C1305" s="2" t="str">
        <f>"5-15/NOS-70-A/15"</f>
        <v>5-15/NOS-70-A/15</v>
      </c>
      <c r="D1305" s="2" t="s">
        <v>16</v>
      </c>
      <c r="E1305" s="2" t="s">
        <v>1250</v>
      </c>
      <c r="F1305" s="2" t="s">
        <v>1342</v>
      </c>
      <c r="G1305" s="2" t="str">
        <f>"5-15/NOS-70-A/15"</f>
        <v>5-15/NOS-70-A/15</v>
      </c>
      <c r="H1305" s="2" t="str">
        <f t="shared" si="31"/>
        <v>Ugovor - narudžbenica (periodični predmet)</v>
      </c>
      <c r="I1305" s="2" t="s">
        <v>19</v>
      </c>
      <c r="J1305" s="3" t="str">
        <f>"912,57"</f>
        <v>912,57</v>
      </c>
      <c r="K1305" s="2" t="s">
        <v>1141</v>
      </c>
      <c r="L1305" s="2" t="s">
        <v>1370</v>
      </c>
      <c r="M1305" s="2" t="s">
        <v>44</v>
      </c>
      <c r="N1305" s="2" t="str">
        <f>"05.11.2015"</f>
        <v>05.11.2015</v>
      </c>
      <c r="O1305" s="3" t="str">
        <f>"912,57"</f>
        <v>912,57</v>
      </c>
      <c r="P1305" s="4"/>
    </row>
    <row r="1306" spans="2:16" ht="63" x14ac:dyDescent="0.25">
      <c r="B1306" s="2">
        <v>1072</v>
      </c>
      <c r="C1306" s="2" t="str">
        <f>"3-15/NOS-71/15"</f>
        <v>3-15/NOS-71/15</v>
      </c>
      <c r="D1306" s="2" t="s">
        <v>16</v>
      </c>
      <c r="E1306" s="2" t="s">
        <v>1250</v>
      </c>
      <c r="F1306" s="2" t="s">
        <v>575</v>
      </c>
      <c r="G1306" s="2" t="str">
        <f>"3-15/NOS-71/15"</f>
        <v>3-15/NOS-71/15</v>
      </c>
      <c r="H1306" s="2" t="str">
        <f t="shared" si="31"/>
        <v>Ugovor - narudžbenica (periodični predmet)</v>
      </c>
      <c r="I1306" s="2" t="s">
        <v>19</v>
      </c>
      <c r="J1306" s="3" t="str">
        <f>"4.990,85"</f>
        <v>4.990,85</v>
      </c>
      <c r="K1306" s="2" t="s">
        <v>1141</v>
      </c>
      <c r="L1306" s="2" t="s">
        <v>1374</v>
      </c>
      <c r="M1306" s="2" t="s">
        <v>576</v>
      </c>
      <c r="N1306" s="2" t="str">
        <f>"30.11.2015"</f>
        <v>30.11.2015</v>
      </c>
      <c r="O1306" s="3" t="str">
        <f>"4.990,85"</f>
        <v>4.990,85</v>
      </c>
      <c r="P1306" s="4"/>
    </row>
    <row r="1307" spans="2:16" ht="63" x14ac:dyDescent="0.25">
      <c r="B1307" s="2">
        <v>1073</v>
      </c>
      <c r="C1307" s="2" t="str">
        <f>"4-15/NOS-75-I/15"</f>
        <v>4-15/NOS-75-I/15</v>
      </c>
      <c r="D1307" s="2" t="s">
        <v>85</v>
      </c>
      <c r="E1307" s="2" t="s">
        <v>1250</v>
      </c>
      <c r="F1307" s="2" t="s">
        <v>1337</v>
      </c>
      <c r="G1307" s="2" t="str">
        <f>"4-15/NOS-75-I/15"</f>
        <v>4-15/NOS-75-I/15</v>
      </c>
      <c r="H1307" s="2" t="str">
        <f t="shared" si="31"/>
        <v>Ugovor - narudžbenica (periodični predmet)</v>
      </c>
      <c r="I1307" s="2" t="s">
        <v>19</v>
      </c>
      <c r="J1307" s="3" t="str">
        <f>"674.495,00"</f>
        <v>674.495,00</v>
      </c>
      <c r="K1307" s="2" t="s">
        <v>1141</v>
      </c>
      <c r="L1307" s="2" t="s">
        <v>1375</v>
      </c>
      <c r="M1307" s="2" t="s">
        <v>612</v>
      </c>
      <c r="N1307" s="2" t="str">
        <f>"12.01.2016"</f>
        <v>12.01.2016</v>
      </c>
      <c r="O1307" s="3" t="str">
        <f>"329.246,00"</f>
        <v>329.246,00</v>
      </c>
      <c r="P1307" s="4"/>
    </row>
    <row r="1308" spans="2:16" ht="63" x14ac:dyDescent="0.25">
      <c r="B1308" s="2">
        <v>1074</v>
      </c>
      <c r="C1308" s="2" t="str">
        <f>"6-15/NOS-19/15"</f>
        <v>6-15/NOS-19/15</v>
      </c>
      <c r="D1308" s="2" t="s">
        <v>16</v>
      </c>
      <c r="E1308" s="2" t="s">
        <v>1250</v>
      </c>
      <c r="F1308" s="2" t="s">
        <v>277</v>
      </c>
      <c r="G1308" s="2" t="str">
        <f>"6-15/NOS-19/15"</f>
        <v>6-15/NOS-19/15</v>
      </c>
      <c r="H1308" s="2" t="str">
        <f t="shared" si="31"/>
        <v>Ugovor - narudžbenica (periodični predmet)</v>
      </c>
      <c r="I1308" s="2" t="s">
        <v>19</v>
      </c>
      <c r="J1308" s="3" t="str">
        <f>"2.390,00"</f>
        <v>2.390,00</v>
      </c>
      <c r="K1308" s="2" t="s">
        <v>1141</v>
      </c>
      <c r="L1308" s="2" t="s">
        <v>1374</v>
      </c>
      <c r="M1308" s="2" t="s">
        <v>44</v>
      </c>
      <c r="N1308" s="2" t="str">
        <f>"11.11.2015"</f>
        <v>11.11.2015</v>
      </c>
      <c r="O1308" s="3" t="str">
        <f>"720,00"</f>
        <v>720,00</v>
      </c>
      <c r="P1308" s="4"/>
    </row>
    <row r="1309" spans="2:16" ht="63" x14ac:dyDescent="0.25">
      <c r="B1309" s="2">
        <v>1075</v>
      </c>
      <c r="C1309" s="2" t="str">
        <f>"6-15/NOS-57/14"</f>
        <v>6-15/NOS-57/14</v>
      </c>
      <c r="D1309" s="2" t="s">
        <v>16</v>
      </c>
      <c r="E1309" s="2" t="s">
        <v>1250</v>
      </c>
      <c r="F1309" s="2" t="s">
        <v>1376</v>
      </c>
      <c r="G1309" s="2" t="str">
        <f>"6-15/NOS-57/14"</f>
        <v>6-15/NOS-57/14</v>
      </c>
      <c r="H1309" s="2" t="str">
        <f t="shared" si="31"/>
        <v>Ugovor - narudžbenica (periodični predmet)</v>
      </c>
      <c r="I1309" s="2" t="s">
        <v>19</v>
      </c>
      <c r="J1309" s="3" t="str">
        <f>"3.220,22"</f>
        <v>3.220,22</v>
      </c>
      <c r="K1309" s="2" t="s">
        <v>1141</v>
      </c>
      <c r="L1309" s="2" t="s">
        <v>1370</v>
      </c>
      <c r="M1309" s="2" t="s">
        <v>508</v>
      </c>
      <c r="N1309" s="2" t="str">
        <f>"04.11.2015"</f>
        <v>04.11.2015</v>
      </c>
      <c r="O1309" s="3" t="str">
        <f>"3.220,22"</f>
        <v>3.220,22</v>
      </c>
      <c r="P1309" s="4"/>
    </row>
    <row r="1310" spans="2:16" ht="63" x14ac:dyDescent="0.25">
      <c r="B1310" s="2">
        <v>1076</v>
      </c>
      <c r="C1310" s="2" t="str">
        <f>"28-15/NOS-89/14"</f>
        <v>28-15/NOS-89/14</v>
      </c>
      <c r="D1310" s="2" t="s">
        <v>28</v>
      </c>
      <c r="E1310" s="2" t="s">
        <v>1250</v>
      </c>
      <c r="F1310" s="2" t="s">
        <v>1277</v>
      </c>
      <c r="G1310" s="2" t="str">
        <f>"28-15/NOS-89/14"</f>
        <v>28-15/NOS-89/14</v>
      </c>
      <c r="H1310" s="2" t="str">
        <f t="shared" si="31"/>
        <v>Ugovor - narudžbenica (periodični predmet)</v>
      </c>
      <c r="I1310" s="2" t="s">
        <v>19</v>
      </c>
      <c r="J1310" s="3" t="str">
        <f>"10.019,73"</f>
        <v>10.019,73</v>
      </c>
      <c r="K1310" s="2" t="s">
        <v>433</v>
      </c>
      <c r="L1310" s="2" t="s">
        <v>1374</v>
      </c>
      <c r="M1310" s="2" t="s">
        <v>868</v>
      </c>
      <c r="N1310" s="2" t="str">
        <f>"26.10.2015"</f>
        <v>26.10.2015</v>
      </c>
      <c r="O1310" s="3" t="str">
        <f>"10.008,00"</f>
        <v>10.008,00</v>
      </c>
      <c r="P1310" s="4"/>
    </row>
    <row r="1311" spans="2:16" ht="63" x14ac:dyDescent="0.25">
      <c r="B1311" s="2">
        <v>1077</v>
      </c>
      <c r="C1311" s="2" t="str">
        <f>"4-15/NOS-167/13"</f>
        <v>4-15/NOS-167/13</v>
      </c>
      <c r="D1311" s="2" t="s">
        <v>28</v>
      </c>
      <c r="E1311" s="2" t="s">
        <v>1250</v>
      </c>
      <c r="F1311" s="2" t="s">
        <v>1377</v>
      </c>
      <c r="G1311" s="2" t="str">
        <f>"4-15/NOS-167/13"</f>
        <v>4-15/NOS-167/13</v>
      </c>
      <c r="H1311" s="2" t="str">
        <f t="shared" si="31"/>
        <v>Ugovor - narudžbenica (periodični predmet)</v>
      </c>
      <c r="I1311" s="2" t="s">
        <v>19</v>
      </c>
      <c r="J1311" s="3" t="str">
        <f>"1.845,00"</f>
        <v>1.845,00</v>
      </c>
      <c r="K1311" s="2" t="s">
        <v>433</v>
      </c>
      <c r="L1311" s="2" t="s">
        <v>1374</v>
      </c>
      <c r="M1311" s="2" t="s">
        <v>568</v>
      </c>
      <c r="N1311" s="2" t="str">
        <f>"29.10.2015"</f>
        <v>29.10.2015</v>
      </c>
      <c r="O1311" s="3" t="str">
        <f>"1.832,50"</f>
        <v>1.832,50</v>
      </c>
      <c r="P1311" s="4"/>
    </row>
    <row r="1312" spans="2:16" ht="63" x14ac:dyDescent="0.25">
      <c r="B1312" s="2">
        <v>1078</v>
      </c>
      <c r="C1312" s="2" t="str">
        <f>"12-15/NOS-122/14"</f>
        <v>12-15/NOS-122/14</v>
      </c>
      <c r="D1312" s="2" t="s">
        <v>16</v>
      </c>
      <c r="E1312" s="2" t="s">
        <v>1250</v>
      </c>
      <c r="F1312" s="2" t="s">
        <v>58</v>
      </c>
      <c r="G1312" s="2" t="str">
        <f>"12-15/NOS-122/14"</f>
        <v>12-15/NOS-122/14</v>
      </c>
      <c r="H1312" s="2" t="str">
        <f t="shared" si="31"/>
        <v>Ugovor - narudžbenica (periodični predmet)</v>
      </c>
      <c r="I1312" s="2" t="s">
        <v>19</v>
      </c>
      <c r="J1312" s="3" t="str">
        <f>"2.109,40"</f>
        <v>2.109,40</v>
      </c>
      <c r="K1312" s="2" t="s">
        <v>433</v>
      </c>
      <c r="L1312" s="2" t="s">
        <v>1374</v>
      </c>
      <c r="M1312" s="2" t="s">
        <v>1378</v>
      </c>
      <c r="N1312" s="2" t="str">
        <f>"04.01.2016"</f>
        <v>04.01.2016</v>
      </c>
      <c r="O1312" s="3" t="str">
        <f>"1.586,40"</f>
        <v>1.586,40</v>
      </c>
      <c r="P1312" s="4"/>
    </row>
    <row r="1313" spans="2:16" ht="78.75" x14ac:dyDescent="0.25">
      <c r="B1313" s="2">
        <v>1079</v>
      </c>
      <c r="C1313" s="2" t="str">
        <f>"13-15/NOS-24/15"</f>
        <v>13-15/NOS-24/15</v>
      </c>
      <c r="D1313" s="2" t="s">
        <v>76</v>
      </c>
      <c r="E1313" s="2" t="s">
        <v>1250</v>
      </c>
      <c r="F1313" s="2" t="s">
        <v>305</v>
      </c>
      <c r="G1313" s="2" t="str">
        <f>"13-15/NOS-24/15"</f>
        <v>13-15/NOS-24/15</v>
      </c>
      <c r="H1313" s="2" t="str">
        <f t="shared" si="31"/>
        <v>Ugovor - narudžbenica (periodični predmet)</v>
      </c>
      <c r="I1313" s="2" t="s">
        <v>19</v>
      </c>
      <c r="J1313" s="3" t="str">
        <f>"41.133,60"</f>
        <v>41.133,60</v>
      </c>
      <c r="K1313" s="2" t="s">
        <v>433</v>
      </c>
      <c r="L1313" s="2" t="s">
        <v>1374</v>
      </c>
      <c r="M1313" s="2" t="s">
        <v>218</v>
      </c>
      <c r="N1313" s="2" t="str">
        <f>"10.12.2015"</f>
        <v>10.12.2015</v>
      </c>
      <c r="O1313" s="3" t="str">
        <f>"38.333,60"</f>
        <v>38.333,60</v>
      </c>
      <c r="P1313" s="4"/>
    </row>
    <row r="1314" spans="2:16" s="19" customFormat="1" ht="63" x14ac:dyDescent="0.25">
      <c r="B1314" s="16">
        <v>1080</v>
      </c>
      <c r="C1314" s="16" t="str">
        <f>"23-15/NOS-97/14"</f>
        <v>23-15/NOS-97/14</v>
      </c>
      <c r="D1314" s="16" t="s">
        <v>16</v>
      </c>
      <c r="E1314" s="16" t="s">
        <v>1250</v>
      </c>
      <c r="F1314" s="16" t="s">
        <v>1285</v>
      </c>
      <c r="G1314" s="16" t="str">
        <f>"23-15/NOS-97/14"</f>
        <v>23-15/NOS-97/14</v>
      </c>
      <c r="H1314" s="16" t="str">
        <f t="shared" si="31"/>
        <v>Ugovor - narudžbenica (periodični predmet)</v>
      </c>
      <c r="I1314" s="16" t="s">
        <v>19</v>
      </c>
      <c r="J1314" s="17" t="str">
        <f>"5.426,68"</f>
        <v>5.426,68</v>
      </c>
      <c r="K1314" s="16" t="s">
        <v>433</v>
      </c>
      <c r="L1314" s="16" t="s">
        <v>1370</v>
      </c>
      <c r="M1314" s="16" t="s">
        <v>164</v>
      </c>
      <c r="N1314" s="16" t="str">
        <f>"09.11.2015"</f>
        <v>09.11.2015</v>
      </c>
      <c r="O1314" s="17" t="str">
        <f>"5.431,83"</f>
        <v>5.431,83</v>
      </c>
      <c r="P1314" s="16" t="s">
        <v>699</v>
      </c>
    </row>
    <row r="1315" spans="2:16" ht="63" x14ac:dyDescent="0.25">
      <c r="B1315" s="2">
        <v>1081</v>
      </c>
      <c r="C1315" s="2" t="str">
        <f>"3-15/NOS-75-B/15"</f>
        <v>3-15/NOS-75-B/15</v>
      </c>
      <c r="D1315" s="2" t="s">
        <v>28</v>
      </c>
      <c r="E1315" s="2" t="s">
        <v>1250</v>
      </c>
      <c r="F1315" s="2" t="s">
        <v>1337</v>
      </c>
      <c r="G1315" s="2" t="str">
        <f>"3-15/NOS-75-B/15"</f>
        <v>3-15/NOS-75-B/15</v>
      </c>
      <c r="H1315" s="2" t="str">
        <f t="shared" si="31"/>
        <v>Ugovor - narudžbenica (periodični predmet)</v>
      </c>
      <c r="I1315" s="2" t="s">
        <v>19</v>
      </c>
      <c r="J1315" s="3" t="str">
        <f>"60.900,00"</f>
        <v>60.900,00</v>
      </c>
      <c r="K1315" s="2" t="s">
        <v>433</v>
      </c>
      <c r="L1315" s="2" t="s">
        <v>1374</v>
      </c>
      <c r="M1315" s="2" t="s">
        <v>612</v>
      </c>
      <c r="N1315" s="2" t="str">
        <f>"12.01.2016"</f>
        <v>12.01.2016</v>
      </c>
      <c r="O1315" s="3" t="str">
        <f>"60.900,00"</f>
        <v>60.900,00</v>
      </c>
      <c r="P1315" s="4"/>
    </row>
    <row r="1316" spans="2:16" ht="63" x14ac:dyDescent="0.25">
      <c r="B1316" s="2">
        <v>1082</v>
      </c>
      <c r="C1316" s="2" t="str">
        <f>"7-15/NOS-90/15"</f>
        <v>7-15/NOS-90/15</v>
      </c>
      <c r="D1316" s="2" t="s">
        <v>28</v>
      </c>
      <c r="E1316" s="2" t="s">
        <v>1250</v>
      </c>
      <c r="F1316" s="2" t="s">
        <v>177</v>
      </c>
      <c r="G1316" s="2" t="str">
        <f>"7-15/NOS-90/15"</f>
        <v>7-15/NOS-90/15</v>
      </c>
      <c r="H1316" s="2" t="str">
        <f t="shared" si="31"/>
        <v>Ugovor - narudžbenica (periodični predmet)</v>
      </c>
      <c r="I1316" s="2" t="s">
        <v>19</v>
      </c>
      <c r="J1316" s="3" t="str">
        <f>"17.147,80"</f>
        <v>17.147,80</v>
      </c>
      <c r="K1316" s="2" t="s">
        <v>433</v>
      </c>
      <c r="L1316" s="2" t="s">
        <v>1374</v>
      </c>
      <c r="M1316" s="2" t="s">
        <v>44</v>
      </c>
      <c r="N1316" s="2" t="str">
        <f>"04.12.2015"</f>
        <v>04.12.2015</v>
      </c>
      <c r="O1316" s="3" t="str">
        <f>"10.966,80"</f>
        <v>10.966,80</v>
      </c>
      <c r="P1316" s="4"/>
    </row>
    <row r="1317" spans="2:16" ht="63" x14ac:dyDescent="0.25">
      <c r="B1317" s="2">
        <v>1083</v>
      </c>
      <c r="C1317" s="2" t="str">
        <f>"5-15/NOS-97-B/15"</f>
        <v>5-15/NOS-97-B/15</v>
      </c>
      <c r="D1317" s="2" t="s">
        <v>28</v>
      </c>
      <c r="E1317" s="2" t="s">
        <v>1250</v>
      </c>
      <c r="F1317" s="2" t="s">
        <v>1271</v>
      </c>
      <c r="G1317" s="2" t="str">
        <f>"5-15/NOS-97-B/15"</f>
        <v>5-15/NOS-97-B/15</v>
      </c>
      <c r="H1317" s="2" t="str">
        <f t="shared" si="31"/>
        <v>Ugovor - narudžbenica (periodični predmet)</v>
      </c>
      <c r="I1317" s="2" t="s">
        <v>19</v>
      </c>
      <c r="J1317" s="3" t="str">
        <f>"1.238,70"</f>
        <v>1.238,70</v>
      </c>
      <c r="K1317" s="2" t="s">
        <v>433</v>
      </c>
      <c r="L1317" s="2" t="s">
        <v>1374</v>
      </c>
      <c r="M1317" s="2" t="s">
        <v>44</v>
      </c>
      <c r="N1317" s="2" t="str">
        <f>"16.11.2015"</f>
        <v>16.11.2015</v>
      </c>
      <c r="O1317" s="3" t="str">
        <f>"975,94"</f>
        <v>975,94</v>
      </c>
      <c r="P1317" s="4"/>
    </row>
    <row r="1318" spans="2:16" ht="63" x14ac:dyDescent="0.25">
      <c r="B1318" s="2">
        <v>1084</v>
      </c>
      <c r="C1318" s="2" t="str">
        <f>"5-15/NOS-54/15"</f>
        <v>5-15/NOS-54/15</v>
      </c>
      <c r="D1318" s="2" t="s">
        <v>28</v>
      </c>
      <c r="E1318" s="2" t="s">
        <v>1250</v>
      </c>
      <c r="F1318" s="2" t="s">
        <v>255</v>
      </c>
      <c r="G1318" s="2" t="str">
        <f>"5-15/NOS-54/15"</f>
        <v>5-15/NOS-54/15</v>
      </c>
      <c r="H1318" s="2" t="str">
        <f t="shared" si="31"/>
        <v>Ugovor - narudžbenica (periodični predmet)</v>
      </c>
      <c r="I1318" s="2" t="s">
        <v>19</v>
      </c>
      <c r="J1318" s="3" t="str">
        <f>"11.050,00"</f>
        <v>11.050,00</v>
      </c>
      <c r="K1318" s="2" t="s">
        <v>433</v>
      </c>
      <c r="L1318" s="2" t="s">
        <v>1374</v>
      </c>
      <c r="M1318" s="2" t="s">
        <v>259</v>
      </c>
      <c r="N1318" s="2" t="str">
        <f>"16.11.2015"</f>
        <v>16.11.2015</v>
      </c>
      <c r="O1318" s="3" t="str">
        <f>"11.050,00"</f>
        <v>11.050,00</v>
      </c>
      <c r="P1318" s="4"/>
    </row>
    <row r="1319" spans="2:16" ht="63" x14ac:dyDescent="0.25">
      <c r="B1319" s="2">
        <v>1085</v>
      </c>
      <c r="C1319" s="2" t="str">
        <f>"2-15/NOS-93/15"</f>
        <v>2-15/NOS-93/15</v>
      </c>
      <c r="D1319" s="2" t="s">
        <v>28</v>
      </c>
      <c r="E1319" s="2" t="s">
        <v>1250</v>
      </c>
      <c r="F1319" s="2" t="s">
        <v>543</v>
      </c>
      <c r="G1319" s="2" t="str">
        <f>"2-15/NOS-93/15"</f>
        <v>2-15/NOS-93/15</v>
      </c>
      <c r="H1319" s="2" t="str">
        <f t="shared" si="31"/>
        <v>Ugovor - narudžbenica (periodični predmet)</v>
      </c>
      <c r="I1319" s="2" t="s">
        <v>19</v>
      </c>
      <c r="J1319" s="3" t="str">
        <f>"13.834,00"</f>
        <v>13.834,00</v>
      </c>
      <c r="K1319" s="2" t="s">
        <v>433</v>
      </c>
      <c r="L1319" s="2" t="s">
        <v>1374</v>
      </c>
      <c r="M1319" s="2" t="s">
        <v>544</v>
      </c>
      <c r="N1319" s="2" t="str">
        <f>"21.12.2015"</f>
        <v>21.12.2015</v>
      </c>
      <c r="O1319" s="3" t="str">
        <f>"13.834,00"</f>
        <v>13.834,00</v>
      </c>
      <c r="P1319" s="4"/>
    </row>
    <row r="1320" spans="2:16" ht="63" x14ac:dyDescent="0.25">
      <c r="B1320" s="2">
        <v>1086</v>
      </c>
      <c r="C1320" s="2" t="str">
        <f>"6-15/NOS-60/15"</f>
        <v>6-15/NOS-60/15</v>
      </c>
      <c r="D1320" s="2" t="s">
        <v>16</v>
      </c>
      <c r="E1320" s="2" t="s">
        <v>1250</v>
      </c>
      <c r="F1320" s="2" t="s">
        <v>157</v>
      </c>
      <c r="G1320" s="2" t="str">
        <f>"6-15/NOS-60/15"</f>
        <v>6-15/NOS-60/15</v>
      </c>
      <c r="H1320" s="2" t="str">
        <f t="shared" si="31"/>
        <v>Ugovor - narudžbenica (periodični predmet)</v>
      </c>
      <c r="I1320" s="2" t="s">
        <v>19</v>
      </c>
      <c r="J1320" s="3" t="str">
        <f>"1.804,20"</f>
        <v>1.804,20</v>
      </c>
      <c r="K1320" s="2" t="s">
        <v>468</v>
      </c>
      <c r="L1320" s="2" t="s">
        <v>1374</v>
      </c>
      <c r="M1320" s="2" t="s">
        <v>44</v>
      </c>
      <c r="N1320" s="2" t="str">
        <f>"13.01.2016"</f>
        <v>13.01.2016</v>
      </c>
      <c r="O1320" s="3" t="str">
        <f>"1.785,20"</f>
        <v>1.785,20</v>
      </c>
      <c r="P1320" s="4"/>
    </row>
    <row r="1321" spans="2:16" ht="63" x14ac:dyDescent="0.25">
      <c r="B1321" s="2">
        <v>1087</v>
      </c>
      <c r="C1321" s="2" t="str">
        <f>"6-15/NOS-69/15"</f>
        <v>6-15/NOS-69/15</v>
      </c>
      <c r="D1321" s="2" t="s">
        <v>16</v>
      </c>
      <c r="E1321" s="2" t="s">
        <v>1250</v>
      </c>
      <c r="F1321" s="2" t="s">
        <v>268</v>
      </c>
      <c r="G1321" s="2" t="str">
        <f>"6-15/NOS-69/15"</f>
        <v>6-15/NOS-69/15</v>
      </c>
      <c r="H1321" s="2" t="str">
        <f t="shared" si="31"/>
        <v>Ugovor - narudžbenica (periodični predmet)</v>
      </c>
      <c r="I1321" s="2" t="s">
        <v>19</v>
      </c>
      <c r="J1321" s="3" t="str">
        <f>"27.600,00"</f>
        <v>27.600,00</v>
      </c>
      <c r="K1321" s="2" t="s">
        <v>468</v>
      </c>
      <c r="L1321" s="2" t="s">
        <v>1374</v>
      </c>
      <c r="M1321" s="2" t="s">
        <v>269</v>
      </c>
      <c r="N1321" s="2" t="str">
        <f>"22.12.2015"</f>
        <v>22.12.2015</v>
      </c>
      <c r="O1321" s="3" t="str">
        <f>"27.600,00"</f>
        <v>27.600,00</v>
      </c>
      <c r="P1321" s="4"/>
    </row>
    <row r="1322" spans="2:16" ht="63" x14ac:dyDescent="0.25">
      <c r="B1322" s="2">
        <v>1088</v>
      </c>
      <c r="C1322" s="2" t="str">
        <f>"4-15/NOS-100-C/15"</f>
        <v>4-15/NOS-100-C/15</v>
      </c>
      <c r="D1322" s="2" t="s">
        <v>16</v>
      </c>
      <c r="E1322" s="2" t="s">
        <v>1250</v>
      </c>
      <c r="F1322" s="2" t="s">
        <v>1255</v>
      </c>
      <c r="G1322" s="2" t="str">
        <f>"4-15/NOS-100-C/15"</f>
        <v>4-15/NOS-100-C/15</v>
      </c>
      <c r="H1322" s="2" t="str">
        <f t="shared" si="31"/>
        <v>Ugovor - narudžbenica (periodični predmet)</v>
      </c>
      <c r="I1322" s="2" t="s">
        <v>19</v>
      </c>
      <c r="J1322" s="3" t="str">
        <f>"1.243,20"</f>
        <v>1.243,20</v>
      </c>
      <c r="K1322" s="2" t="s">
        <v>468</v>
      </c>
      <c r="L1322" s="2" t="s">
        <v>1374</v>
      </c>
      <c r="M1322" s="2" t="s">
        <v>44</v>
      </c>
      <c r="N1322" s="2" t="str">
        <f>"04.11.2015"</f>
        <v>04.11.2015</v>
      </c>
      <c r="O1322" s="3" t="str">
        <f>"1.243,20"</f>
        <v>1.243,20</v>
      </c>
      <c r="P1322" s="4"/>
    </row>
    <row r="1323" spans="2:16" ht="63" x14ac:dyDescent="0.25">
      <c r="B1323" s="2">
        <v>1089</v>
      </c>
      <c r="C1323" s="2" t="str">
        <f>"2-15/NOS-119/15"</f>
        <v>2-15/NOS-119/15</v>
      </c>
      <c r="D1323" s="2" t="s">
        <v>28</v>
      </c>
      <c r="E1323" s="2" t="s">
        <v>1250</v>
      </c>
      <c r="F1323" s="2" t="s">
        <v>455</v>
      </c>
      <c r="G1323" s="2" t="str">
        <f>"2-15/NOS-119/15"</f>
        <v>2-15/NOS-119/15</v>
      </c>
      <c r="H1323" s="2" t="str">
        <f t="shared" si="31"/>
        <v>Ugovor - narudžbenica (periodični predmet)</v>
      </c>
      <c r="I1323" s="2" t="s">
        <v>19</v>
      </c>
      <c r="J1323" s="3" t="str">
        <f>"6.528,82"</f>
        <v>6.528,82</v>
      </c>
      <c r="K1323" s="2" t="s">
        <v>468</v>
      </c>
      <c r="L1323" s="2" t="s">
        <v>1374</v>
      </c>
      <c r="M1323" s="2" t="s">
        <v>458</v>
      </c>
      <c r="N1323" s="2" t="str">
        <f>"07.12.2015"</f>
        <v>07.12.2015</v>
      </c>
      <c r="O1323" s="3" t="str">
        <f>"2.480,18"</f>
        <v>2.480,18</v>
      </c>
      <c r="P1323" s="4"/>
    </row>
    <row r="1324" spans="2:16" ht="63" x14ac:dyDescent="0.25">
      <c r="B1324" s="2">
        <v>1090</v>
      </c>
      <c r="C1324" s="2" t="str">
        <f>"12-15/NOS-121-C/14"</f>
        <v>12-15/NOS-121-C/14</v>
      </c>
      <c r="D1324" s="2" t="s">
        <v>85</v>
      </c>
      <c r="E1324" s="2" t="s">
        <v>1250</v>
      </c>
      <c r="F1324" s="2" t="s">
        <v>1316</v>
      </c>
      <c r="G1324" s="2" t="str">
        <f>"12-15/NOS-121-C/14"</f>
        <v>12-15/NOS-121-C/14</v>
      </c>
      <c r="H1324" s="2" t="str">
        <f t="shared" si="31"/>
        <v>Ugovor - narudžbenica (periodični predmet)</v>
      </c>
      <c r="I1324" s="2" t="s">
        <v>19</v>
      </c>
      <c r="J1324" s="3" t="str">
        <f>"81.900,00"</f>
        <v>81.900,00</v>
      </c>
      <c r="K1324" s="2" t="s">
        <v>468</v>
      </c>
      <c r="L1324" s="2" t="s">
        <v>1374</v>
      </c>
      <c r="M1324" s="2" t="s">
        <v>599</v>
      </c>
      <c r="N1324" s="2" t="str">
        <f>"16.11.2015"</f>
        <v>16.11.2015</v>
      </c>
      <c r="O1324" s="3" t="str">
        <f>"81.900,00"</f>
        <v>81.900,00</v>
      </c>
      <c r="P1324" s="4"/>
    </row>
    <row r="1325" spans="2:16" ht="63" x14ac:dyDescent="0.25">
      <c r="B1325" s="2">
        <v>1091</v>
      </c>
      <c r="C1325" s="2" t="str">
        <f>"37-15/NOS-29/12"</f>
        <v>37-15/NOS-29/12</v>
      </c>
      <c r="D1325" s="2" t="s">
        <v>85</v>
      </c>
      <c r="E1325" s="2" t="s">
        <v>1250</v>
      </c>
      <c r="F1325" s="2" t="s">
        <v>1269</v>
      </c>
      <c r="G1325" s="2" t="str">
        <f>"37-15/NOS-29/12"</f>
        <v>37-15/NOS-29/12</v>
      </c>
      <c r="H1325" s="2" t="str">
        <f t="shared" si="31"/>
        <v>Ugovor - narudžbenica (periodični predmet)</v>
      </c>
      <c r="I1325" s="2" t="s">
        <v>19</v>
      </c>
      <c r="J1325" s="3" t="str">
        <f>"108.150,28"</f>
        <v>108.150,28</v>
      </c>
      <c r="K1325" s="2" t="s">
        <v>468</v>
      </c>
      <c r="L1325" s="2" t="s">
        <v>1374</v>
      </c>
      <c r="M1325" s="2" t="s">
        <v>1295</v>
      </c>
      <c r="N1325" s="2" t="str">
        <f>"29.12.2015"</f>
        <v>29.12.2015</v>
      </c>
      <c r="O1325" s="3" t="str">
        <f>"66.735,36"</f>
        <v>66.735,36</v>
      </c>
      <c r="P1325" s="4"/>
    </row>
    <row r="1326" spans="2:16" ht="63" x14ac:dyDescent="0.25">
      <c r="B1326" s="2">
        <v>1092</v>
      </c>
      <c r="C1326" s="2" t="str">
        <f>"3-15/NOS-75-C/15"</f>
        <v>3-15/NOS-75-C/15</v>
      </c>
      <c r="D1326" s="2" t="s">
        <v>85</v>
      </c>
      <c r="E1326" s="2" t="s">
        <v>1250</v>
      </c>
      <c r="F1326" s="2" t="s">
        <v>1337</v>
      </c>
      <c r="G1326" s="2" t="str">
        <f>"3-15/NOS-75-C/15"</f>
        <v>3-15/NOS-75-C/15</v>
      </c>
      <c r="H1326" s="2" t="str">
        <f t="shared" si="31"/>
        <v>Ugovor - narudžbenica (periodični predmet)</v>
      </c>
      <c r="I1326" s="2" t="s">
        <v>19</v>
      </c>
      <c r="J1326" s="3" t="str">
        <f>"5.486,00"</f>
        <v>5.486,00</v>
      </c>
      <c r="K1326" s="2" t="s">
        <v>468</v>
      </c>
      <c r="L1326" s="2" t="s">
        <v>1374</v>
      </c>
      <c r="M1326" s="2" t="s">
        <v>613</v>
      </c>
      <c r="N1326" s="2" t="str">
        <f>"13.01.2016"</f>
        <v>13.01.2016</v>
      </c>
      <c r="O1326" s="3" t="str">
        <f>"5.486,00"</f>
        <v>5.486,00</v>
      </c>
      <c r="P1326" s="4"/>
    </row>
    <row r="1327" spans="2:16" ht="63" x14ac:dyDescent="0.25">
      <c r="B1327" s="2">
        <v>1093</v>
      </c>
      <c r="C1327" s="2" t="str">
        <f>"3-15/NOS-75-G/15"</f>
        <v>3-15/NOS-75-G/15</v>
      </c>
      <c r="D1327" s="2" t="s">
        <v>85</v>
      </c>
      <c r="E1327" s="2" t="s">
        <v>1250</v>
      </c>
      <c r="F1327" s="2" t="s">
        <v>1337</v>
      </c>
      <c r="G1327" s="2" t="str">
        <f>"3-15/NOS-75-G/15"</f>
        <v>3-15/NOS-75-G/15</v>
      </c>
      <c r="H1327" s="2" t="str">
        <f t="shared" si="31"/>
        <v>Ugovor - narudžbenica (periodični predmet)</v>
      </c>
      <c r="I1327" s="2" t="s">
        <v>19</v>
      </c>
      <c r="J1327" s="3" t="str">
        <f>"1.551,60"</f>
        <v>1.551,60</v>
      </c>
      <c r="K1327" s="2" t="s">
        <v>468</v>
      </c>
      <c r="L1327" s="2" t="s">
        <v>1374</v>
      </c>
      <c r="M1327" s="2" t="s">
        <v>613</v>
      </c>
      <c r="N1327" s="2" t="str">
        <f>"13.01.2016"</f>
        <v>13.01.2016</v>
      </c>
      <c r="O1327" s="3" t="str">
        <f>"1.551,60"</f>
        <v>1.551,60</v>
      </c>
      <c r="P1327" s="4"/>
    </row>
    <row r="1328" spans="2:16" ht="63" x14ac:dyDescent="0.25">
      <c r="B1328" s="2">
        <v>1094</v>
      </c>
      <c r="C1328" s="2" t="str">
        <f>"5-15/NOS-100-A/15"</f>
        <v>5-15/NOS-100-A/15</v>
      </c>
      <c r="D1328" s="2" t="s">
        <v>16</v>
      </c>
      <c r="E1328" s="2" t="s">
        <v>1250</v>
      </c>
      <c r="F1328" s="2" t="s">
        <v>1255</v>
      </c>
      <c r="G1328" s="2" t="str">
        <f>"5-15/NOS-100-A/15"</f>
        <v>5-15/NOS-100-A/15</v>
      </c>
      <c r="H1328" s="2" t="str">
        <f t="shared" si="31"/>
        <v>Ugovor - narudžbenica (periodični predmet)</v>
      </c>
      <c r="I1328" s="2" t="s">
        <v>19</v>
      </c>
      <c r="J1328" s="3" t="str">
        <f>"8.185,60"</f>
        <v>8.185,60</v>
      </c>
      <c r="K1328" s="2" t="s">
        <v>433</v>
      </c>
      <c r="L1328" s="2" t="s">
        <v>1374</v>
      </c>
      <c r="M1328" s="2" t="s">
        <v>269</v>
      </c>
      <c r="N1328" s="2" t="str">
        <f>"03.11.2015"</f>
        <v>03.11.2015</v>
      </c>
      <c r="O1328" s="3" t="str">
        <f>"8.185,60"</f>
        <v>8.185,60</v>
      </c>
      <c r="P1328" s="4"/>
    </row>
    <row r="1329" spans="2:16" s="15" customFormat="1" ht="63" x14ac:dyDescent="0.25">
      <c r="B1329" s="12">
        <v>1095</v>
      </c>
      <c r="C1329" s="12" t="str">
        <f>"3-15/NOS-151/13"</f>
        <v>3-15/NOS-151/13</v>
      </c>
      <c r="D1329" s="12" t="s">
        <v>362</v>
      </c>
      <c r="E1329" s="12" t="s">
        <v>1250</v>
      </c>
      <c r="F1329" s="12" t="s">
        <v>1379</v>
      </c>
      <c r="G1329" s="12" t="str">
        <f>"3-15/NOS-151/13"</f>
        <v>3-15/NOS-151/13</v>
      </c>
      <c r="H1329" s="12" t="str">
        <f t="shared" si="31"/>
        <v>Ugovor - narudžbenica (periodični predmet)</v>
      </c>
      <c r="I1329" s="12" t="s">
        <v>19</v>
      </c>
      <c r="J1329" s="13" t="str">
        <f>"39.573,40"</f>
        <v>39.573,40</v>
      </c>
      <c r="K1329" s="12" t="s">
        <v>1380</v>
      </c>
      <c r="L1329" s="12" t="s">
        <v>1167</v>
      </c>
      <c r="M1329" s="12" t="s">
        <v>366</v>
      </c>
      <c r="N1329" s="12" t="s">
        <v>23</v>
      </c>
      <c r="O1329" s="13" t="str">
        <f>"39.573,40"</f>
        <v>39.573,40</v>
      </c>
      <c r="P1329" s="14"/>
    </row>
    <row r="1330" spans="2:16" ht="63" x14ac:dyDescent="0.25">
      <c r="B1330" s="2">
        <v>1096</v>
      </c>
      <c r="C1330" s="2" t="str">
        <f>"41-15/NOS-216-A/13"</f>
        <v>41-15/NOS-216-A/13</v>
      </c>
      <c r="D1330" s="2" t="s">
        <v>903</v>
      </c>
      <c r="E1330" s="2" t="s">
        <v>1250</v>
      </c>
      <c r="F1330" s="2" t="s">
        <v>1355</v>
      </c>
      <c r="G1330" s="2" t="str">
        <f>"41-15/NOS-216-A/13"</f>
        <v>41-15/NOS-216-A/13</v>
      </c>
      <c r="H1330" s="2" t="str">
        <f t="shared" si="31"/>
        <v>Ugovor - narudžbenica (periodični predmet)</v>
      </c>
      <c r="I1330" s="2" t="s">
        <v>19</v>
      </c>
      <c r="J1330" s="3" t="str">
        <f>"440.207,98"</f>
        <v>440.207,98</v>
      </c>
      <c r="K1330" s="2" t="s">
        <v>1380</v>
      </c>
      <c r="L1330" s="2" t="s">
        <v>1363</v>
      </c>
      <c r="M1330" s="2" t="s">
        <v>358</v>
      </c>
      <c r="N1330" s="2" t="str">
        <f>"12.11.2015"</f>
        <v>12.11.2015</v>
      </c>
      <c r="O1330" s="3" t="str">
        <f>"435.235,13"</f>
        <v>435.235,13</v>
      </c>
      <c r="P1330" s="4"/>
    </row>
    <row r="1331" spans="2:16" s="15" customFormat="1" ht="63" x14ac:dyDescent="0.25">
      <c r="B1331" s="12">
        <v>1098</v>
      </c>
      <c r="C1331" s="12" t="str">
        <f>"4-15/NOS-14/15"</f>
        <v>4-15/NOS-14/15</v>
      </c>
      <c r="D1331" s="12" t="s">
        <v>16</v>
      </c>
      <c r="E1331" s="12" t="s">
        <v>1250</v>
      </c>
      <c r="F1331" s="12" t="s">
        <v>324</v>
      </c>
      <c r="G1331" s="12" t="str">
        <f>"4-15/NOS-14/15"</f>
        <v>4-15/NOS-14/15</v>
      </c>
      <c r="H1331" s="12" t="str">
        <f t="shared" si="31"/>
        <v>Ugovor - narudžbenica (periodični predmet)</v>
      </c>
      <c r="I1331" s="12" t="s">
        <v>19</v>
      </c>
      <c r="J1331" s="13" t="str">
        <f>"84.686,00"</f>
        <v>84.686,00</v>
      </c>
      <c r="K1331" s="12" t="s">
        <v>492</v>
      </c>
      <c r="L1331" s="12" t="s">
        <v>1375</v>
      </c>
      <c r="M1331" s="12" t="s">
        <v>138</v>
      </c>
      <c r="N1331" s="12" t="s">
        <v>1567</v>
      </c>
      <c r="O1331" s="22">
        <v>84231</v>
      </c>
      <c r="P1331" s="14"/>
    </row>
    <row r="1332" spans="2:16" ht="63" x14ac:dyDescent="0.25">
      <c r="B1332" s="2">
        <v>1099</v>
      </c>
      <c r="C1332" s="2" t="str">
        <f>"3-15/NOS-70-D/15"</f>
        <v>3-15/NOS-70-D/15</v>
      </c>
      <c r="D1332" s="2" t="s">
        <v>16</v>
      </c>
      <c r="E1332" s="2" t="s">
        <v>1250</v>
      </c>
      <c r="F1332" s="2" t="s">
        <v>1342</v>
      </c>
      <c r="G1332" s="2" t="str">
        <f>"3-15/NOS-70-D/15"</f>
        <v>3-15/NOS-70-D/15</v>
      </c>
      <c r="H1332" s="2" t="str">
        <f t="shared" si="31"/>
        <v>Ugovor - narudžbenica (periodični predmet)</v>
      </c>
      <c r="I1332" s="2" t="s">
        <v>19</v>
      </c>
      <c r="J1332" s="3" t="str">
        <f>"34.481,00"</f>
        <v>34.481,00</v>
      </c>
      <c r="K1332" s="2" t="s">
        <v>492</v>
      </c>
      <c r="L1332" s="2" t="s">
        <v>1375</v>
      </c>
      <c r="M1332" s="2" t="s">
        <v>644</v>
      </c>
      <c r="N1332" s="2" t="str">
        <f>"23.10.2015"</f>
        <v>23.10.2015</v>
      </c>
      <c r="O1332" s="3" t="str">
        <f>"24.455,00"</f>
        <v>24.455,00</v>
      </c>
      <c r="P1332" s="4"/>
    </row>
    <row r="1333" spans="2:16" ht="63" x14ac:dyDescent="0.25">
      <c r="B1333" s="2">
        <v>1100</v>
      </c>
      <c r="C1333" s="2" t="str">
        <f>"8-15/NOS-70/14"</f>
        <v>8-15/NOS-70/14</v>
      </c>
      <c r="D1333" s="2" t="s">
        <v>16</v>
      </c>
      <c r="E1333" s="2" t="s">
        <v>1250</v>
      </c>
      <c r="F1333" s="2" t="s">
        <v>1287</v>
      </c>
      <c r="G1333" s="2" t="str">
        <f>"8-15/NOS-70/14"</f>
        <v>8-15/NOS-70/14</v>
      </c>
      <c r="H1333" s="2" t="str">
        <f t="shared" si="31"/>
        <v>Ugovor - narudžbenica (periodični predmet)</v>
      </c>
      <c r="I1333" s="2" t="s">
        <v>19</v>
      </c>
      <c r="J1333" s="3" t="str">
        <f>"53.178,00"</f>
        <v>53.178,00</v>
      </c>
      <c r="K1333" s="2" t="s">
        <v>492</v>
      </c>
      <c r="L1333" s="2" t="s">
        <v>1375</v>
      </c>
      <c r="M1333" s="2" t="s">
        <v>1288</v>
      </c>
      <c r="N1333" s="2" t="str">
        <f>"28.12.2015"</f>
        <v>28.12.2015</v>
      </c>
      <c r="O1333" s="3" t="str">
        <f>"40.258,00"</f>
        <v>40.258,00</v>
      </c>
      <c r="P1333" s="4"/>
    </row>
    <row r="1334" spans="2:16" ht="63" x14ac:dyDescent="0.25">
      <c r="B1334" s="2">
        <v>1101</v>
      </c>
      <c r="C1334" s="2" t="str">
        <f>"12-15/NOS-90/14"</f>
        <v>12-15/NOS-90/14</v>
      </c>
      <c r="D1334" s="2" t="s">
        <v>16</v>
      </c>
      <c r="E1334" s="2" t="s">
        <v>1250</v>
      </c>
      <c r="F1334" s="2" t="s">
        <v>1274</v>
      </c>
      <c r="G1334" s="2" t="str">
        <f>"12-15/NOS-90/14"</f>
        <v>12-15/NOS-90/14</v>
      </c>
      <c r="H1334" s="2" t="str">
        <f t="shared" si="31"/>
        <v>Ugovor - narudžbenica (periodični predmet)</v>
      </c>
      <c r="I1334" s="2" t="s">
        <v>19</v>
      </c>
      <c r="J1334" s="3" t="str">
        <f>"7.599,00"</f>
        <v>7.599,00</v>
      </c>
      <c r="K1334" s="2" t="s">
        <v>492</v>
      </c>
      <c r="L1334" s="2" t="s">
        <v>1375</v>
      </c>
      <c r="M1334" s="2" t="s">
        <v>419</v>
      </c>
      <c r="N1334" s="2" t="str">
        <f>"22.10.2015"</f>
        <v>22.10.2015</v>
      </c>
      <c r="O1334" s="3" t="str">
        <f>"3.750,00"</f>
        <v>3.750,00</v>
      </c>
      <c r="P1334" s="4"/>
    </row>
    <row r="1335" spans="2:16" ht="63" x14ac:dyDescent="0.25">
      <c r="B1335" s="2">
        <v>1102</v>
      </c>
      <c r="C1335" s="2" t="str">
        <f>"6-15/NOS-214/13"</f>
        <v>6-15/NOS-214/13</v>
      </c>
      <c r="D1335" s="2" t="s">
        <v>85</v>
      </c>
      <c r="E1335" s="2" t="s">
        <v>1250</v>
      </c>
      <c r="F1335" s="2" t="s">
        <v>1326</v>
      </c>
      <c r="G1335" s="2" t="str">
        <f>"6-15/NOS-214/13"</f>
        <v>6-15/NOS-214/13</v>
      </c>
      <c r="H1335" s="2" t="str">
        <f t="shared" si="31"/>
        <v>Ugovor - narudžbenica (periodični predmet)</v>
      </c>
      <c r="I1335" s="2" t="s">
        <v>19</v>
      </c>
      <c r="J1335" s="3" t="str">
        <f>"9.780,00"</f>
        <v>9.780,00</v>
      </c>
      <c r="K1335" s="2" t="s">
        <v>492</v>
      </c>
      <c r="L1335" s="2" t="s">
        <v>1375</v>
      </c>
      <c r="M1335" s="2" t="s">
        <v>1327</v>
      </c>
      <c r="N1335" s="2" t="str">
        <f>"13.11.2015"</f>
        <v>13.11.2015</v>
      </c>
      <c r="O1335" s="3" t="str">
        <f>"9.780,00"</f>
        <v>9.780,00</v>
      </c>
      <c r="P1335" s="4"/>
    </row>
    <row r="1336" spans="2:16" ht="63" x14ac:dyDescent="0.25">
      <c r="B1336" s="2">
        <v>1103</v>
      </c>
      <c r="C1336" s="2" t="str">
        <f>"18-15/NOS-205/13"</f>
        <v>18-15/NOS-205/13</v>
      </c>
      <c r="D1336" s="2" t="s">
        <v>16</v>
      </c>
      <c r="E1336" s="2" t="s">
        <v>1250</v>
      </c>
      <c r="F1336" s="2" t="s">
        <v>1290</v>
      </c>
      <c r="G1336" s="2" t="str">
        <f>"18-15/NOS-205/13"</f>
        <v>18-15/NOS-205/13</v>
      </c>
      <c r="H1336" s="2" t="str">
        <f t="shared" si="31"/>
        <v>Ugovor - narudžbenica (periodični predmet)</v>
      </c>
      <c r="I1336" s="2" t="s">
        <v>19</v>
      </c>
      <c r="J1336" s="3" t="str">
        <f>"3.270,90"</f>
        <v>3.270,90</v>
      </c>
      <c r="K1336" s="2" t="s">
        <v>492</v>
      </c>
      <c r="L1336" s="2" t="s">
        <v>1375</v>
      </c>
      <c r="M1336" s="2" t="s">
        <v>1291</v>
      </c>
      <c r="N1336" s="2" t="str">
        <f>"23.12.2015"</f>
        <v>23.12.2015</v>
      </c>
      <c r="O1336" s="3" t="str">
        <f>"1.507,50"</f>
        <v>1.507,50</v>
      </c>
      <c r="P1336" s="4"/>
    </row>
    <row r="1337" spans="2:16" ht="63" x14ac:dyDescent="0.25">
      <c r="B1337" s="2">
        <v>1104</v>
      </c>
      <c r="C1337" s="2" t="str">
        <f>"13-15/NOS-210-A/13"</f>
        <v>13-15/NOS-210-A/13</v>
      </c>
      <c r="D1337" s="2" t="s">
        <v>85</v>
      </c>
      <c r="E1337" s="2" t="s">
        <v>1250</v>
      </c>
      <c r="F1337" s="2" t="s">
        <v>1294</v>
      </c>
      <c r="G1337" s="2" t="str">
        <f>"13-15/NOS-210-A/13"</f>
        <v>13-15/NOS-210-A/13</v>
      </c>
      <c r="H1337" s="2" t="str">
        <f t="shared" si="31"/>
        <v>Ugovor - narudžbenica (periodični predmet)</v>
      </c>
      <c r="I1337" s="2" t="s">
        <v>19</v>
      </c>
      <c r="J1337" s="3" t="str">
        <f>"6.260,00"</f>
        <v>6.260,00</v>
      </c>
      <c r="K1337" s="2" t="s">
        <v>492</v>
      </c>
      <c r="L1337" s="2" t="s">
        <v>1374</v>
      </c>
      <c r="M1337" s="2" t="s">
        <v>84</v>
      </c>
      <c r="N1337" s="2" t="str">
        <f>"16.11.2015"</f>
        <v>16.11.2015</v>
      </c>
      <c r="O1337" s="3" t="str">
        <f>"6.260,00"</f>
        <v>6.260,00</v>
      </c>
      <c r="P1337" s="4"/>
    </row>
    <row r="1338" spans="2:16" ht="63" x14ac:dyDescent="0.25">
      <c r="B1338" s="2">
        <v>1105</v>
      </c>
      <c r="C1338" s="2" t="str">
        <f>"24-15/NOS-97/14"</f>
        <v>24-15/NOS-97/14</v>
      </c>
      <c r="D1338" s="2" t="s">
        <v>16</v>
      </c>
      <c r="E1338" s="2" t="s">
        <v>1250</v>
      </c>
      <c r="F1338" s="2" t="s">
        <v>1285</v>
      </c>
      <c r="G1338" s="2" t="str">
        <f>"24-15/NOS-97/14"</f>
        <v>24-15/NOS-97/14</v>
      </c>
      <c r="H1338" s="2" t="str">
        <f t="shared" si="31"/>
        <v>Ugovor - narudžbenica (periodični predmet)</v>
      </c>
      <c r="I1338" s="2" t="s">
        <v>19</v>
      </c>
      <c r="J1338" s="3" t="str">
        <f>"18.820,50"</f>
        <v>18.820,50</v>
      </c>
      <c r="K1338" s="2" t="s">
        <v>492</v>
      </c>
      <c r="L1338" s="2" t="s">
        <v>1375</v>
      </c>
      <c r="M1338" s="2" t="s">
        <v>165</v>
      </c>
      <c r="N1338" s="2" t="str">
        <f>"20.11.2015"</f>
        <v>20.11.2015</v>
      </c>
      <c r="O1338" s="3" t="str">
        <f>"18.726,75"</f>
        <v>18.726,75</v>
      </c>
      <c r="P1338" s="2"/>
    </row>
    <row r="1339" spans="2:16" ht="63" x14ac:dyDescent="0.25">
      <c r="B1339" s="2">
        <v>1106</v>
      </c>
      <c r="C1339" s="2" t="str">
        <f>"12-15/NOS-110/14"</f>
        <v>12-15/NOS-110/14</v>
      </c>
      <c r="D1339" s="2" t="s">
        <v>16</v>
      </c>
      <c r="E1339" s="2" t="s">
        <v>1250</v>
      </c>
      <c r="F1339" s="2" t="s">
        <v>66</v>
      </c>
      <c r="G1339" s="2" t="str">
        <f>"12-15/NOS-110/14"</f>
        <v>12-15/NOS-110/14</v>
      </c>
      <c r="H1339" s="2" t="str">
        <f t="shared" si="31"/>
        <v>Ugovor - narudžbenica (periodični predmet)</v>
      </c>
      <c r="I1339" s="2" t="s">
        <v>19</v>
      </c>
      <c r="J1339" s="3" t="str">
        <f>"17.672,72"</f>
        <v>17.672,72</v>
      </c>
      <c r="K1339" s="2" t="s">
        <v>1367</v>
      </c>
      <c r="L1339" s="2" t="s">
        <v>1374</v>
      </c>
      <c r="M1339" s="2" t="s">
        <v>69</v>
      </c>
      <c r="N1339" s="2" t="str">
        <f>"28.10.2015"</f>
        <v>28.10.2015</v>
      </c>
      <c r="O1339" s="3" t="str">
        <f>"17.672,72"</f>
        <v>17.672,72</v>
      </c>
      <c r="P1339" s="4"/>
    </row>
    <row r="1340" spans="2:16" ht="63" x14ac:dyDescent="0.25">
      <c r="B1340" s="2">
        <v>1107</v>
      </c>
      <c r="C1340" s="2" t="str">
        <f>"2-15/NOS-95/15"</f>
        <v>2-15/NOS-95/15</v>
      </c>
      <c r="D1340" s="2" t="s">
        <v>16</v>
      </c>
      <c r="E1340" s="2" t="s">
        <v>1250</v>
      </c>
      <c r="F1340" s="2" t="s">
        <v>510</v>
      </c>
      <c r="G1340" s="2" t="str">
        <f>"2-15/NOS-95/15"</f>
        <v>2-15/NOS-95/15</v>
      </c>
      <c r="H1340" s="2" t="str">
        <f t="shared" si="31"/>
        <v>Ugovor - narudžbenica (periodični predmet)</v>
      </c>
      <c r="I1340" s="2" t="s">
        <v>19</v>
      </c>
      <c r="J1340" s="3" t="str">
        <f>"47.000,00"</f>
        <v>47.000,00</v>
      </c>
      <c r="K1340" s="2" t="s">
        <v>1367</v>
      </c>
      <c r="L1340" s="2" t="s">
        <v>1374</v>
      </c>
      <c r="M1340" s="2" t="s">
        <v>73</v>
      </c>
      <c r="N1340" s="2" t="str">
        <f>"24.11.2015"</f>
        <v>24.11.2015</v>
      </c>
      <c r="O1340" s="3" t="str">
        <f>"47.000,00"</f>
        <v>47.000,00</v>
      </c>
      <c r="P1340" s="4"/>
    </row>
    <row r="1341" spans="2:16" ht="63" x14ac:dyDescent="0.25">
      <c r="B1341" s="2">
        <v>1108</v>
      </c>
      <c r="C1341" s="2" t="str">
        <f>"6-15/NOS-70-A/15"</f>
        <v>6-15/NOS-70-A/15</v>
      </c>
      <c r="D1341" s="2" t="s">
        <v>16</v>
      </c>
      <c r="E1341" s="2" t="s">
        <v>1250</v>
      </c>
      <c r="F1341" s="2" t="s">
        <v>1342</v>
      </c>
      <c r="G1341" s="2" t="str">
        <f>"6-15/NOS-70-A/15"</f>
        <v>6-15/NOS-70-A/15</v>
      </c>
      <c r="H1341" s="2" t="str">
        <f t="shared" si="31"/>
        <v>Ugovor - narudžbenica (periodični predmet)</v>
      </c>
      <c r="I1341" s="2" t="s">
        <v>19</v>
      </c>
      <c r="J1341" s="3" t="str">
        <f>"1.562,00"</f>
        <v>1.562,00</v>
      </c>
      <c r="K1341" s="2" t="s">
        <v>1367</v>
      </c>
      <c r="L1341" s="2" t="s">
        <v>1374</v>
      </c>
      <c r="M1341" s="2" t="s">
        <v>508</v>
      </c>
      <c r="N1341" s="2" t="str">
        <f>"11.11.2015"</f>
        <v>11.11.2015</v>
      </c>
      <c r="O1341" s="3" t="str">
        <f>"1.562,00"</f>
        <v>1.562,00</v>
      </c>
      <c r="P1341" s="4"/>
    </row>
    <row r="1342" spans="2:16" s="15" customFormat="1" ht="63" x14ac:dyDescent="0.25">
      <c r="B1342" s="12">
        <v>1109</v>
      </c>
      <c r="C1342" s="12" t="str">
        <f>"3-15/NOS-70-B/15"</f>
        <v>3-15/NOS-70-B/15</v>
      </c>
      <c r="D1342" s="12" t="s">
        <v>28</v>
      </c>
      <c r="E1342" s="12" t="s">
        <v>1250</v>
      </c>
      <c r="F1342" s="12" t="s">
        <v>1342</v>
      </c>
      <c r="G1342" s="12" t="str">
        <f>"3-15/NOS-70-B/15"</f>
        <v>3-15/NOS-70-B/15</v>
      </c>
      <c r="H1342" s="12" t="str">
        <f t="shared" si="31"/>
        <v>Ugovor - narudžbenica (periodični predmet)</v>
      </c>
      <c r="I1342" s="12" t="s">
        <v>19</v>
      </c>
      <c r="J1342" s="13" t="str">
        <f>"4.540,50"</f>
        <v>4.540,50</v>
      </c>
      <c r="K1342" s="12" t="s">
        <v>1367</v>
      </c>
      <c r="L1342" s="12" t="s">
        <v>1374</v>
      </c>
      <c r="M1342" s="12" t="s">
        <v>508</v>
      </c>
      <c r="N1342" s="12" t="s">
        <v>23</v>
      </c>
      <c r="O1342" s="13" t="str">
        <f>"0,00"</f>
        <v>0,00</v>
      </c>
      <c r="P1342" s="14"/>
    </row>
    <row r="1343" spans="2:16" ht="63" x14ac:dyDescent="0.25">
      <c r="B1343" s="2">
        <v>1110</v>
      </c>
      <c r="C1343" s="2" t="str">
        <f>"13-15/NOS-56/14"</f>
        <v>13-15/NOS-56/14</v>
      </c>
      <c r="D1343" s="2" t="s">
        <v>28</v>
      </c>
      <c r="E1343" s="2" t="s">
        <v>1250</v>
      </c>
      <c r="F1343" s="2" t="s">
        <v>1286</v>
      </c>
      <c r="G1343" s="2" t="str">
        <f>"13-15/NOS-56/14"</f>
        <v>13-15/NOS-56/14</v>
      </c>
      <c r="H1343" s="2" t="str">
        <f t="shared" si="31"/>
        <v>Ugovor - narudžbenica (periodični predmet)</v>
      </c>
      <c r="I1343" s="2" t="s">
        <v>19</v>
      </c>
      <c r="J1343" s="3" t="str">
        <f>"1.679,60"</f>
        <v>1.679,60</v>
      </c>
      <c r="K1343" s="2" t="s">
        <v>1367</v>
      </c>
      <c r="L1343" s="2" t="s">
        <v>1374</v>
      </c>
      <c r="M1343" s="2" t="s">
        <v>715</v>
      </c>
      <c r="N1343" s="2" t="str">
        <f>"05.01.2016"</f>
        <v>05.01.2016</v>
      </c>
      <c r="O1343" s="3" t="str">
        <f>"1.679,60"</f>
        <v>1.679,60</v>
      </c>
      <c r="P1343" s="4"/>
    </row>
    <row r="1344" spans="2:16" s="19" customFormat="1" ht="63" x14ac:dyDescent="0.25">
      <c r="B1344" s="16">
        <v>1111</v>
      </c>
      <c r="C1344" s="16" t="str">
        <f>"3-15/NOS-63-A/15"</f>
        <v>3-15/NOS-63-A/15</v>
      </c>
      <c r="D1344" s="16" t="s">
        <v>16</v>
      </c>
      <c r="E1344" s="16" t="s">
        <v>1250</v>
      </c>
      <c r="F1344" s="16" t="s">
        <v>1338</v>
      </c>
      <c r="G1344" s="16" t="str">
        <f>"3-15/NOS-63-A/15"</f>
        <v>3-15/NOS-63-A/15</v>
      </c>
      <c r="H1344" s="16" t="str">
        <f t="shared" si="31"/>
        <v>Ugovor - narudžbenica (periodični predmet)</v>
      </c>
      <c r="I1344" s="16" t="s">
        <v>19</v>
      </c>
      <c r="J1344" s="17" t="str">
        <f>"1.500,00"</f>
        <v>1.500,00</v>
      </c>
      <c r="K1344" s="16" t="s">
        <v>1367</v>
      </c>
      <c r="L1344" s="16" t="s">
        <v>1381</v>
      </c>
      <c r="M1344" s="16" t="s">
        <v>84</v>
      </c>
      <c r="N1344" s="16" t="str">
        <f>"20.11.2015"</f>
        <v>20.11.2015</v>
      </c>
      <c r="O1344" s="17" t="str">
        <f>"1.545,00"</f>
        <v>1.545,00</v>
      </c>
      <c r="P1344" s="16" t="s">
        <v>699</v>
      </c>
    </row>
    <row r="1345" spans="2:16" ht="63" x14ac:dyDescent="0.25">
      <c r="B1345" s="2">
        <v>1112</v>
      </c>
      <c r="C1345" s="2" t="str">
        <f>"6-15/NOS-54/15"</f>
        <v>6-15/NOS-54/15</v>
      </c>
      <c r="D1345" s="2" t="s">
        <v>16</v>
      </c>
      <c r="E1345" s="2" t="s">
        <v>1250</v>
      </c>
      <c r="F1345" s="2" t="s">
        <v>255</v>
      </c>
      <c r="G1345" s="2" t="str">
        <f>"6-15/NOS-54/15"</f>
        <v>6-15/NOS-54/15</v>
      </c>
      <c r="H1345" s="2" t="str">
        <f t="shared" si="31"/>
        <v>Ugovor - narudžbenica (periodični predmet)</v>
      </c>
      <c r="I1345" s="2" t="s">
        <v>19</v>
      </c>
      <c r="J1345" s="3" t="str">
        <f>"48.160,00"</f>
        <v>48.160,00</v>
      </c>
      <c r="K1345" s="2" t="s">
        <v>1367</v>
      </c>
      <c r="L1345" s="2" t="s">
        <v>1381</v>
      </c>
      <c r="M1345" s="2" t="s">
        <v>84</v>
      </c>
      <c r="N1345" s="2" t="str">
        <f>"05.11.2015"</f>
        <v>05.11.2015</v>
      </c>
      <c r="O1345" s="3" t="str">
        <f>"18.040,00"</f>
        <v>18.040,00</v>
      </c>
      <c r="P1345" s="4"/>
    </row>
    <row r="1346" spans="2:16" ht="63" x14ac:dyDescent="0.25">
      <c r="B1346" s="2">
        <v>1113</v>
      </c>
      <c r="C1346" s="2" t="str">
        <f>"4-15/NOS-97-A/15"</f>
        <v>4-15/NOS-97-A/15</v>
      </c>
      <c r="D1346" s="2" t="s">
        <v>16</v>
      </c>
      <c r="E1346" s="2" t="s">
        <v>1250</v>
      </c>
      <c r="F1346" s="2" t="s">
        <v>1271</v>
      </c>
      <c r="G1346" s="2" t="str">
        <f>"4-15/NOS-97-A/15"</f>
        <v>4-15/NOS-97-A/15</v>
      </c>
      <c r="H1346" s="2" t="str">
        <f t="shared" si="31"/>
        <v>Ugovor - narudžbenica (periodični predmet)</v>
      </c>
      <c r="I1346" s="2" t="s">
        <v>19</v>
      </c>
      <c r="J1346" s="3" t="str">
        <f>"5.539,20"</f>
        <v>5.539,20</v>
      </c>
      <c r="K1346" s="2" t="s">
        <v>1367</v>
      </c>
      <c r="L1346" s="2" t="s">
        <v>1375</v>
      </c>
      <c r="M1346" s="2" t="s">
        <v>44</v>
      </c>
      <c r="N1346" s="2" t="str">
        <f>"07.09.2015"</f>
        <v>07.09.2015</v>
      </c>
      <c r="O1346" s="3" t="str">
        <f>"5.450,57"</f>
        <v>5.450,57</v>
      </c>
      <c r="P1346" s="4"/>
    </row>
    <row r="1347" spans="2:16" ht="63" x14ac:dyDescent="0.25">
      <c r="B1347" s="2">
        <v>1114</v>
      </c>
      <c r="C1347" s="2" t="str">
        <f>"5-15/NOS-75-F/15"</f>
        <v>5-15/NOS-75-F/15</v>
      </c>
      <c r="D1347" s="2" t="s">
        <v>16</v>
      </c>
      <c r="E1347" s="2" t="s">
        <v>1250</v>
      </c>
      <c r="F1347" s="2" t="s">
        <v>1337</v>
      </c>
      <c r="G1347" s="2" t="str">
        <f>"5-15/NOS-75-F/15"</f>
        <v>5-15/NOS-75-F/15</v>
      </c>
      <c r="H1347" s="2" t="str">
        <f t="shared" si="31"/>
        <v>Ugovor - narudžbenica (periodični predmet)</v>
      </c>
      <c r="I1347" s="2" t="s">
        <v>19</v>
      </c>
      <c r="J1347" s="3" t="str">
        <f>"13.587,00"</f>
        <v>13.587,00</v>
      </c>
      <c r="K1347" s="2" t="s">
        <v>499</v>
      </c>
      <c r="L1347" s="2" t="s">
        <v>1375</v>
      </c>
      <c r="M1347" s="2" t="s">
        <v>218</v>
      </c>
      <c r="N1347" s="2" t="str">
        <f>"09.11.2015"</f>
        <v>09.11.2015</v>
      </c>
      <c r="O1347" s="3" t="str">
        <f>"5.900,00"</f>
        <v>5.900,00</v>
      </c>
      <c r="P1347" s="4"/>
    </row>
    <row r="1348" spans="2:16" ht="63" x14ac:dyDescent="0.25">
      <c r="B1348" s="2">
        <v>1115</v>
      </c>
      <c r="C1348" s="2" t="str">
        <f>"7-15/NOS-75-A/15"</f>
        <v>7-15/NOS-75-A/15</v>
      </c>
      <c r="D1348" s="2" t="s">
        <v>16</v>
      </c>
      <c r="E1348" s="2" t="s">
        <v>1250</v>
      </c>
      <c r="F1348" s="2" t="s">
        <v>1337</v>
      </c>
      <c r="G1348" s="2" t="str">
        <f>"7-15/NOS-75-A/15"</f>
        <v>7-15/NOS-75-A/15</v>
      </c>
      <c r="H1348" s="2" t="str">
        <f t="shared" si="31"/>
        <v>Ugovor - narudžbenica (periodični predmet)</v>
      </c>
      <c r="I1348" s="2" t="s">
        <v>19</v>
      </c>
      <c r="J1348" s="3" t="str">
        <f>"23.480,00"</f>
        <v>23.480,00</v>
      </c>
      <c r="K1348" s="2" t="s">
        <v>499</v>
      </c>
      <c r="L1348" s="2" t="s">
        <v>1375</v>
      </c>
      <c r="M1348" s="2" t="s">
        <v>218</v>
      </c>
      <c r="N1348" s="2" t="str">
        <f>"11.01.2016"</f>
        <v>11.01.2016</v>
      </c>
      <c r="O1348" s="3" t="str">
        <f>"18.080,00"</f>
        <v>18.080,00</v>
      </c>
      <c r="P1348" s="4"/>
    </row>
    <row r="1349" spans="2:16" ht="63" x14ac:dyDescent="0.25">
      <c r="B1349" s="2">
        <v>1116</v>
      </c>
      <c r="C1349" s="2" t="str">
        <f>"7-15/NOS-39/15"</f>
        <v>7-15/NOS-39/15</v>
      </c>
      <c r="D1349" s="2" t="s">
        <v>28</v>
      </c>
      <c r="E1349" s="2" t="s">
        <v>1250</v>
      </c>
      <c r="F1349" s="2" t="s">
        <v>300</v>
      </c>
      <c r="G1349" s="2" t="str">
        <f>"7-15/NOS-39/15"</f>
        <v>7-15/NOS-39/15</v>
      </c>
      <c r="H1349" s="2" t="str">
        <f t="shared" ref="H1349:H1412" si="32">"Ugovor - narudžbenica (periodični predmet)"</f>
        <v>Ugovor - narudžbenica (periodični predmet)</v>
      </c>
      <c r="I1349" s="2" t="s">
        <v>19</v>
      </c>
      <c r="J1349" s="3" t="str">
        <f>"4.499,60"</f>
        <v>4.499,60</v>
      </c>
      <c r="K1349" s="2" t="s">
        <v>499</v>
      </c>
      <c r="L1349" s="2" t="s">
        <v>1381</v>
      </c>
      <c r="M1349" s="2" t="s">
        <v>303</v>
      </c>
      <c r="N1349" s="2" t="str">
        <f>"09.11.2015"</f>
        <v>09.11.2015</v>
      </c>
      <c r="O1349" s="3" t="str">
        <f>"624,60"</f>
        <v>624,60</v>
      </c>
      <c r="P1349" s="4"/>
    </row>
    <row r="1350" spans="2:16" ht="68.25" customHeight="1" x14ac:dyDescent="0.25">
      <c r="B1350" s="12">
        <v>1117</v>
      </c>
      <c r="C1350" s="12" t="str">
        <f>"5-15/NOS-62/15"</f>
        <v>5-15/NOS-62/15</v>
      </c>
      <c r="D1350" s="12" t="s">
        <v>16</v>
      </c>
      <c r="E1350" s="12" t="s">
        <v>1250</v>
      </c>
      <c r="F1350" s="12" t="s">
        <v>211</v>
      </c>
      <c r="G1350" s="12" t="str">
        <f>"5-15/NOS-62/15"</f>
        <v>5-15/NOS-62/15</v>
      </c>
      <c r="H1350" s="12" t="str">
        <f t="shared" si="32"/>
        <v>Ugovor - narudžbenica (periodični predmet)</v>
      </c>
      <c r="I1350" s="12" t="s">
        <v>19</v>
      </c>
      <c r="J1350" s="13" t="str">
        <f>"152.430,00"</f>
        <v>152.430,00</v>
      </c>
      <c r="K1350" s="12" t="s">
        <v>499</v>
      </c>
      <c r="L1350" s="12" t="s">
        <v>1382</v>
      </c>
      <c r="M1350" s="12" t="s">
        <v>213</v>
      </c>
      <c r="N1350" s="12" t="str">
        <f>"16.11.2015"</f>
        <v>16.11.2015</v>
      </c>
      <c r="O1350" s="23">
        <v>152593.81</v>
      </c>
      <c r="P1350" s="12" t="s">
        <v>699</v>
      </c>
    </row>
    <row r="1351" spans="2:16" ht="63" x14ac:dyDescent="0.25">
      <c r="B1351" s="2">
        <v>1118</v>
      </c>
      <c r="C1351" s="2" t="str">
        <f>"11-15/NOS-67/14"</f>
        <v>11-15/NOS-67/14</v>
      </c>
      <c r="D1351" s="2" t="s">
        <v>16</v>
      </c>
      <c r="E1351" s="2" t="s">
        <v>1250</v>
      </c>
      <c r="F1351" s="2" t="s">
        <v>1314</v>
      </c>
      <c r="G1351" s="2" t="str">
        <f>"11-15/NOS-67/14"</f>
        <v>11-15/NOS-67/14</v>
      </c>
      <c r="H1351" s="2" t="str">
        <f t="shared" si="32"/>
        <v>Ugovor - narudžbenica (periodični predmet)</v>
      </c>
      <c r="I1351" s="2" t="s">
        <v>19</v>
      </c>
      <c r="J1351" s="3" t="str">
        <f>"846,90"</f>
        <v>846,90</v>
      </c>
      <c r="K1351" s="2" t="s">
        <v>1146</v>
      </c>
      <c r="L1351" s="2" t="s">
        <v>1381</v>
      </c>
      <c r="M1351" s="2" t="s">
        <v>44</v>
      </c>
      <c r="N1351" s="2" t="str">
        <f>"16.11.2015"</f>
        <v>16.11.2015</v>
      </c>
      <c r="O1351" s="3" t="str">
        <f>"846,90"</f>
        <v>846,90</v>
      </c>
      <c r="P1351" s="4"/>
    </row>
    <row r="1352" spans="2:16" ht="63" x14ac:dyDescent="0.25">
      <c r="B1352" s="2">
        <v>1119</v>
      </c>
      <c r="C1352" s="2" t="str">
        <f>"12-15/NOS-108/14"</f>
        <v>12-15/NOS-108/14</v>
      </c>
      <c r="D1352" s="2" t="s">
        <v>16</v>
      </c>
      <c r="E1352" s="2" t="s">
        <v>1250</v>
      </c>
      <c r="F1352" s="2" t="s">
        <v>41</v>
      </c>
      <c r="G1352" s="2" t="str">
        <f>"12-15/NOS-108/14"</f>
        <v>12-15/NOS-108/14</v>
      </c>
      <c r="H1352" s="2" t="str">
        <f t="shared" si="32"/>
        <v>Ugovor - narudžbenica (periodični predmet)</v>
      </c>
      <c r="I1352" s="2" t="s">
        <v>19</v>
      </c>
      <c r="J1352" s="3" t="str">
        <f>"3.795,40"</f>
        <v>3.795,40</v>
      </c>
      <c r="K1352" s="2" t="s">
        <v>1146</v>
      </c>
      <c r="L1352" s="2" t="s">
        <v>1381</v>
      </c>
      <c r="M1352" s="2" t="s">
        <v>45</v>
      </c>
      <c r="N1352" s="2" t="str">
        <f>"04.11.2015"</f>
        <v>04.11.2015</v>
      </c>
      <c r="O1352" s="3" t="str">
        <f>"3.795,40"</f>
        <v>3.795,40</v>
      </c>
      <c r="P1352" s="4"/>
    </row>
    <row r="1353" spans="2:16" ht="63" x14ac:dyDescent="0.25">
      <c r="B1353" s="2">
        <v>1120</v>
      </c>
      <c r="C1353" s="2" t="str">
        <f>"12-15/NOS-112/14"</f>
        <v>12-15/NOS-112/14</v>
      </c>
      <c r="D1353" s="2" t="s">
        <v>16</v>
      </c>
      <c r="E1353" s="2" t="s">
        <v>1250</v>
      </c>
      <c r="F1353" s="2" t="s">
        <v>77</v>
      </c>
      <c r="G1353" s="2" t="str">
        <f>"12-15/NOS-112/14"</f>
        <v>12-15/NOS-112/14</v>
      </c>
      <c r="H1353" s="2" t="str">
        <f t="shared" si="32"/>
        <v>Ugovor - narudžbenica (periodični predmet)</v>
      </c>
      <c r="I1353" s="2" t="s">
        <v>19</v>
      </c>
      <c r="J1353" s="3" t="str">
        <f>"2.300,00"</f>
        <v>2.300,00</v>
      </c>
      <c r="K1353" s="2" t="s">
        <v>1146</v>
      </c>
      <c r="L1353" s="2" t="s">
        <v>1381</v>
      </c>
      <c r="M1353" s="2" t="s">
        <v>80</v>
      </c>
      <c r="N1353" s="2" t="str">
        <f>"03.11.2015"</f>
        <v>03.11.2015</v>
      </c>
      <c r="O1353" s="3" t="str">
        <f>"2.300,00"</f>
        <v>2.300,00</v>
      </c>
      <c r="P1353" s="4"/>
    </row>
    <row r="1354" spans="2:16" ht="63" x14ac:dyDescent="0.25">
      <c r="B1354" s="2">
        <v>1121</v>
      </c>
      <c r="C1354" s="2" t="str">
        <f>"21-15/NOS-83/14"</f>
        <v>21-15/NOS-83/14</v>
      </c>
      <c r="D1354" s="2" t="s">
        <v>16</v>
      </c>
      <c r="E1354" s="2" t="s">
        <v>1250</v>
      </c>
      <c r="F1354" s="2" t="s">
        <v>1273</v>
      </c>
      <c r="G1354" s="2" t="str">
        <f>"21-15/NOS-83/14"</f>
        <v>21-15/NOS-83/14</v>
      </c>
      <c r="H1354" s="2" t="str">
        <f t="shared" si="32"/>
        <v>Ugovor - narudžbenica (periodični predmet)</v>
      </c>
      <c r="I1354" s="2" t="s">
        <v>19</v>
      </c>
      <c r="J1354" s="3" t="str">
        <f>"5.334,00"</f>
        <v>5.334,00</v>
      </c>
      <c r="K1354" s="2" t="s">
        <v>1146</v>
      </c>
      <c r="L1354" s="2" t="s">
        <v>1381</v>
      </c>
      <c r="M1354" s="2" t="s">
        <v>941</v>
      </c>
      <c r="N1354" s="2" t="str">
        <f>"29.10.2015"</f>
        <v>29.10.2015</v>
      </c>
      <c r="O1354" s="3" t="str">
        <f>"5.334,00"</f>
        <v>5.334,00</v>
      </c>
      <c r="P1354" s="4"/>
    </row>
    <row r="1355" spans="2:16" ht="63" x14ac:dyDescent="0.25">
      <c r="B1355" s="2">
        <v>1122</v>
      </c>
      <c r="C1355" s="2" t="str">
        <f>"12-15/NOS-183/13"</f>
        <v>12-15/NOS-183/13</v>
      </c>
      <c r="D1355" s="2" t="s">
        <v>16</v>
      </c>
      <c r="E1355" s="2" t="s">
        <v>1250</v>
      </c>
      <c r="F1355" s="2" t="s">
        <v>1292</v>
      </c>
      <c r="G1355" s="2" t="str">
        <f>"12-15/NOS-183/13"</f>
        <v>12-15/NOS-183/13</v>
      </c>
      <c r="H1355" s="2" t="str">
        <f t="shared" si="32"/>
        <v>Ugovor - narudžbenica (periodični predmet)</v>
      </c>
      <c r="I1355" s="2" t="s">
        <v>19</v>
      </c>
      <c r="J1355" s="3" t="str">
        <f>"364,20"</f>
        <v>364,20</v>
      </c>
      <c r="K1355" s="2" t="s">
        <v>1146</v>
      </c>
      <c r="L1355" s="2" t="s">
        <v>1381</v>
      </c>
      <c r="M1355" s="2" t="s">
        <v>1293</v>
      </c>
      <c r="N1355" s="2" t="str">
        <f>"09.11.2015"</f>
        <v>09.11.2015</v>
      </c>
      <c r="O1355" s="3" t="str">
        <f>"364,20"</f>
        <v>364,20</v>
      </c>
      <c r="P1355" s="4"/>
    </row>
    <row r="1356" spans="2:16" ht="63" x14ac:dyDescent="0.25">
      <c r="B1356" s="2">
        <v>1123</v>
      </c>
      <c r="C1356" s="2" t="str">
        <f>"9-15/NOS-203/13"</f>
        <v>9-15/NOS-203/13</v>
      </c>
      <c r="D1356" s="2" t="s">
        <v>16</v>
      </c>
      <c r="E1356" s="2" t="s">
        <v>1250</v>
      </c>
      <c r="F1356" s="2" t="s">
        <v>1303</v>
      </c>
      <c r="G1356" s="2" t="str">
        <f>"9-15/NOS-203/13"</f>
        <v>9-15/NOS-203/13</v>
      </c>
      <c r="H1356" s="2" t="str">
        <f t="shared" si="32"/>
        <v>Ugovor - narudžbenica (periodični predmet)</v>
      </c>
      <c r="I1356" s="2" t="s">
        <v>19</v>
      </c>
      <c r="J1356" s="3" t="str">
        <f>"1.268,30"</f>
        <v>1.268,30</v>
      </c>
      <c r="K1356" s="2" t="s">
        <v>1146</v>
      </c>
      <c r="L1356" s="2" t="s">
        <v>1381</v>
      </c>
      <c r="M1356" s="2" t="s">
        <v>1305</v>
      </c>
      <c r="N1356" s="2" t="str">
        <f>"26.10.2015"</f>
        <v>26.10.2015</v>
      </c>
      <c r="O1356" s="3" t="str">
        <f>"1.268,30"</f>
        <v>1.268,30</v>
      </c>
      <c r="P1356" s="4"/>
    </row>
    <row r="1357" spans="2:16" ht="63" x14ac:dyDescent="0.25">
      <c r="B1357" s="2">
        <v>1124</v>
      </c>
      <c r="C1357" s="2" t="str">
        <f>"38-15/NOS-29/12"</f>
        <v>38-15/NOS-29/12</v>
      </c>
      <c r="D1357" s="2" t="s">
        <v>85</v>
      </c>
      <c r="E1357" s="2" t="s">
        <v>1250</v>
      </c>
      <c r="F1357" s="2" t="s">
        <v>1269</v>
      </c>
      <c r="G1357" s="2" t="str">
        <f>"38-15/NOS-29/12"</f>
        <v>38-15/NOS-29/12</v>
      </c>
      <c r="H1357" s="2" t="str">
        <f t="shared" si="32"/>
        <v>Ugovor - narudžbenica (periodični predmet)</v>
      </c>
      <c r="I1357" s="2" t="s">
        <v>19</v>
      </c>
      <c r="J1357" s="3" t="str">
        <f>"26.711,60"</f>
        <v>26.711,60</v>
      </c>
      <c r="K1357" s="2" t="s">
        <v>1364</v>
      </c>
      <c r="L1357" s="2" t="s">
        <v>1383</v>
      </c>
      <c r="M1357" s="2" t="s">
        <v>1299</v>
      </c>
      <c r="N1357" s="2" t="str">
        <f>"13.11.2015"</f>
        <v>13.11.2015</v>
      </c>
      <c r="O1357" s="3" t="str">
        <f>"26.711,60"</f>
        <v>26.711,60</v>
      </c>
      <c r="P1357" s="4"/>
    </row>
    <row r="1358" spans="2:16" ht="63" x14ac:dyDescent="0.25">
      <c r="B1358" s="2">
        <v>1125</v>
      </c>
      <c r="C1358" s="2" t="str">
        <f>"3-15/NOS-110/15"</f>
        <v>3-15/NOS-110/15</v>
      </c>
      <c r="D1358" s="2" t="s">
        <v>28</v>
      </c>
      <c r="E1358" s="2" t="s">
        <v>1250</v>
      </c>
      <c r="F1358" s="2" t="s">
        <v>463</v>
      </c>
      <c r="G1358" s="2" t="str">
        <f>"3-15/NOS-110/15"</f>
        <v>3-15/NOS-110/15</v>
      </c>
      <c r="H1358" s="2" t="str">
        <f t="shared" si="32"/>
        <v>Ugovor - narudžbenica (periodični predmet)</v>
      </c>
      <c r="I1358" s="2" t="s">
        <v>19</v>
      </c>
      <c r="J1358" s="3" t="str">
        <f>"16.972,69"</f>
        <v>16.972,69</v>
      </c>
      <c r="K1358" s="2" t="s">
        <v>1367</v>
      </c>
      <c r="L1358" s="2" t="s">
        <v>1375</v>
      </c>
      <c r="M1358" s="2" t="s">
        <v>466</v>
      </c>
      <c r="N1358" s="2" t="str">
        <f>"23.11.2015"</f>
        <v>23.11.2015</v>
      </c>
      <c r="O1358" s="3" t="str">
        <f>"14.749,29"</f>
        <v>14.749,29</v>
      </c>
      <c r="P1358" s="4"/>
    </row>
    <row r="1359" spans="2:16" ht="63" x14ac:dyDescent="0.25">
      <c r="B1359" s="2">
        <v>1126</v>
      </c>
      <c r="C1359" s="2" t="str">
        <f>"14-15/NOS-24/15"</f>
        <v>14-15/NOS-24/15</v>
      </c>
      <c r="D1359" s="2" t="s">
        <v>16</v>
      </c>
      <c r="E1359" s="2" t="s">
        <v>1250</v>
      </c>
      <c r="F1359" s="2" t="s">
        <v>305</v>
      </c>
      <c r="G1359" s="2" t="str">
        <f>"14-15/NOS-24/15"</f>
        <v>14-15/NOS-24/15</v>
      </c>
      <c r="H1359" s="2" t="str">
        <f t="shared" si="32"/>
        <v>Ugovor - narudžbenica (periodični predmet)</v>
      </c>
      <c r="I1359" s="2" t="s">
        <v>19</v>
      </c>
      <c r="J1359" s="3" t="str">
        <f>"36.216,50"</f>
        <v>36.216,50</v>
      </c>
      <c r="K1359" s="2" t="s">
        <v>1148</v>
      </c>
      <c r="L1359" s="2" t="s">
        <v>1382</v>
      </c>
      <c r="M1359" s="2" t="s">
        <v>218</v>
      </c>
      <c r="N1359" s="2" t="str">
        <f>"23.12.2015"</f>
        <v>23.12.2015</v>
      </c>
      <c r="O1359" s="3" t="str">
        <f>"36.216,50"</f>
        <v>36.216,50</v>
      </c>
      <c r="P1359" s="4"/>
    </row>
    <row r="1360" spans="2:16" s="15" customFormat="1" ht="63" x14ac:dyDescent="0.25">
      <c r="B1360" s="12">
        <v>1127</v>
      </c>
      <c r="C1360" s="12" t="str">
        <f>"6-15/NOS-35/15"</f>
        <v>6-15/NOS-35/15</v>
      </c>
      <c r="D1360" s="12" t="s">
        <v>16</v>
      </c>
      <c r="E1360" s="12" t="s">
        <v>1250</v>
      </c>
      <c r="F1360" s="12" t="s">
        <v>243</v>
      </c>
      <c r="G1360" s="12" t="str">
        <f>"6-15/NOS-35/15"</f>
        <v>6-15/NOS-35/15</v>
      </c>
      <c r="H1360" s="12" t="str">
        <f t="shared" si="32"/>
        <v>Ugovor - narudžbenica (periodični predmet)</v>
      </c>
      <c r="I1360" s="12" t="s">
        <v>19</v>
      </c>
      <c r="J1360" s="13" t="str">
        <f>"800,70"</f>
        <v>800,70</v>
      </c>
      <c r="K1360" s="12" t="s">
        <v>1148</v>
      </c>
      <c r="L1360" s="12" t="s">
        <v>1382</v>
      </c>
      <c r="M1360" s="12" t="s">
        <v>246</v>
      </c>
      <c r="N1360" s="12" t="str">
        <f>"23.10.2015"</f>
        <v>23.10.2015</v>
      </c>
      <c r="O1360" s="23">
        <v>67.2</v>
      </c>
      <c r="P1360" s="14"/>
    </row>
    <row r="1361" spans="2:16" ht="63" x14ac:dyDescent="0.25">
      <c r="B1361" s="2">
        <v>1128</v>
      </c>
      <c r="C1361" s="2" t="str">
        <f>"5-15/NOS-67/15"</f>
        <v>5-15/NOS-67/15</v>
      </c>
      <c r="D1361" s="2" t="s">
        <v>85</v>
      </c>
      <c r="E1361" s="2" t="s">
        <v>1250</v>
      </c>
      <c r="F1361" s="2" t="s">
        <v>511</v>
      </c>
      <c r="G1361" s="2" t="str">
        <f>"5-15/NOS-67/15"</f>
        <v>5-15/NOS-67/15</v>
      </c>
      <c r="H1361" s="2" t="str">
        <f t="shared" si="32"/>
        <v>Ugovor - narudžbenica (periodični predmet)</v>
      </c>
      <c r="I1361" s="2" t="s">
        <v>19</v>
      </c>
      <c r="J1361" s="3" t="str">
        <f>"2.402,26"</f>
        <v>2.402,26</v>
      </c>
      <c r="K1361" s="2" t="s">
        <v>1148</v>
      </c>
      <c r="L1361" s="2" t="s">
        <v>1381</v>
      </c>
      <c r="M1361" s="2" t="s">
        <v>512</v>
      </c>
      <c r="N1361" s="2" t="str">
        <f>"19.11.2015"</f>
        <v>19.11.2015</v>
      </c>
      <c r="O1361" s="3" t="str">
        <f>"2.402,26"</f>
        <v>2.402,26</v>
      </c>
      <c r="P1361" s="4"/>
    </row>
    <row r="1362" spans="2:16" ht="63" x14ac:dyDescent="0.25">
      <c r="B1362" s="2">
        <v>1129</v>
      </c>
      <c r="C1362" s="2" t="str">
        <f>"4-15/NOS-75-B/15"</f>
        <v>4-15/NOS-75-B/15</v>
      </c>
      <c r="D1362" s="2" t="s">
        <v>16</v>
      </c>
      <c r="E1362" s="2" t="s">
        <v>1250</v>
      </c>
      <c r="F1362" s="2" t="s">
        <v>1337</v>
      </c>
      <c r="G1362" s="2" t="str">
        <f>"4-15/NOS-75-B/15"</f>
        <v>4-15/NOS-75-B/15</v>
      </c>
      <c r="H1362" s="2" t="str">
        <f t="shared" si="32"/>
        <v>Ugovor - narudžbenica (periodični predmet)</v>
      </c>
      <c r="I1362" s="2" t="s">
        <v>19</v>
      </c>
      <c r="J1362" s="3" t="str">
        <f>"9.372,00"</f>
        <v>9.372,00</v>
      </c>
      <c r="K1362" s="2" t="s">
        <v>1148</v>
      </c>
      <c r="L1362" s="2" t="s">
        <v>1381</v>
      </c>
      <c r="M1362" s="2" t="s">
        <v>612</v>
      </c>
      <c r="N1362" s="2" t="str">
        <f>"31.12.2015"</f>
        <v>31.12.2015</v>
      </c>
      <c r="O1362" s="3" t="str">
        <f>"5.628,00"</f>
        <v>5.628,00</v>
      </c>
      <c r="P1362" s="4"/>
    </row>
    <row r="1363" spans="2:16" ht="63" x14ac:dyDescent="0.25">
      <c r="B1363" s="2">
        <v>1130</v>
      </c>
      <c r="C1363" s="2" t="str">
        <f>"55-15/NOS-21/14"</f>
        <v>55-15/NOS-21/14</v>
      </c>
      <c r="D1363" s="2" t="s">
        <v>28</v>
      </c>
      <c r="E1363" s="2" t="s">
        <v>1250</v>
      </c>
      <c r="F1363" s="2" t="s">
        <v>1349</v>
      </c>
      <c r="G1363" s="2" t="str">
        <f>"55-15/NOS-21/14"</f>
        <v>55-15/NOS-21/14</v>
      </c>
      <c r="H1363" s="2" t="str">
        <f t="shared" si="32"/>
        <v>Ugovor - narudžbenica (periodični predmet)</v>
      </c>
      <c r="I1363" s="2" t="s">
        <v>19</v>
      </c>
      <c r="J1363" s="3" t="str">
        <f>"24.092,08"</f>
        <v>24.092,08</v>
      </c>
      <c r="K1363" s="2" t="s">
        <v>1148</v>
      </c>
      <c r="L1363" s="2" t="s">
        <v>1381</v>
      </c>
      <c r="M1363" s="2" t="s">
        <v>944</v>
      </c>
      <c r="N1363" s="2" t="str">
        <f>"12.01.2016"</f>
        <v>12.01.2016</v>
      </c>
      <c r="O1363" s="3" t="str">
        <f>"13.937,98"</f>
        <v>13.937,98</v>
      </c>
      <c r="P1363" s="4"/>
    </row>
    <row r="1364" spans="2:16" ht="63" x14ac:dyDescent="0.25">
      <c r="B1364" s="2">
        <v>1131</v>
      </c>
      <c r="C1364" s="2" t="str">
        <f>"3-15/NOS-93/15"</f>
        <v>3-15/NOS-93/15</v>
      </c>
      <c r="D1364" s="2" t="s">
        <v>28</v>
      </c>
      <c r="E1364" s="2" t="s">
        <v>1250</v>
      </c>
      <c r="F1364" s="2" t="s">
        <v>543</v>
      </c>
      <c r="G1364" s="2" t="str">
        <f>"3-15/NOS-93/15"</f>
        <v>3-15/NOS-93/15</v>
      </c>
      <c r="H1364" s="2" t="str">
        <f t="shared" si="32"/>
        <v>Ugovor - narudžbenica (periodični predmet)</v>
      </c>
      <c r="I1364" s="2" t="s">
        <v>19</v>
      </c>
      <c r="J1364" s="3" t="str">
        <f>"11.949,00"</f>
        <v>11.949,00</v>
      </c>
      <c r="K1364" s="2" t="s">
        <v>1148</v>
      </c>
      <c r="L1364" s="2" t="s">
        <v>1381</v>
      </c>
      <c r="M1364" s="2" t="s">
        <v>544</v>
      </c>
      <c r="N1364" s="2" t="str">
        <f>"28.12.2015"</f>
        <v>28.12.2015</v>
      </c>
      <c r="O1364" s="3" t="str">
        <f>"10.986,00"</f>
        <v>10.986,00</v>
      </c>
      <c r="P1364" s="4"/>
    </row>
    <row r="1365" spans="2:16" s="15" customFormat="1" ht="63" x14ac:dyDescent="0.25">
      <c r="B1365" s="12">
        <v>1132</v>
      </c>
      <c r="C1365" s="12" t="str">
        <f>"3-15/NOS-75-E/15"</f>
        <v>3-15/NOS-75-E/15</v>
      </c>
      <c r="D1365" s="12" t="s">
        <v>16</v>
      </c>
      <c r="E1365" s="12" t="s">
        <v>1250</v>
      </c>
      <c r="F1365" s="12" t="s">
        <v>1337</v>
      </c>
      <c r="G1365" s="12" t="str">
        <f>"3-15/NOS-75-E/15"</f>
        <v>3-15/NOS-75-E/15</v>
      </c>
      <c r="H1365" s="12" t="str">
        <f t="shared" si="32"/>
        <v>Ugovor - narudžbenica (periodični predmet)</v>
      </c>
      <c r="I1365" s="12" t="s">
        <v>19</v>
      </c>
      <c r="J1365" s="13" t="str">
        <f>"420,00"</f>
        <v>420,00</v>
      </c>
      <c r="K1365" s="12" t="s">
        <v>1148</v>
      </c>
      <c r="L1365" s="12" t="s">
        <v>1381</v>
      </c>
      <c r="M1365" s="12" t="s">
        <v>612</v>
      </c>
      <c r="N1365" s="12" t="s">
        <v>23</v>
      </c>
      <c r="O1365" s="13" t="str">
        <f>"0,00"</f>
        <v>0,00</v>
      </c>
      <c r="P1365" s="14"/>
    </row>
    <row r="1366" spans="2:16" ht="63" x14ac:dyDescent="0.25">
      <c r="B1366" s="2">
        <v>1133</v>
      </c>
      <c r="C1366" s="2" t="str">
        <f>"1-15/NOS-120/14"</f>
        <v>1-15/NOS-120/14</v>
      </c>
      <c r="D1366" s="2" t="s">
        <v>16</v>
      </c>
      <c r="E1366" s="2" t="s">
        <v>1250</v>
      </c>
      <c r="F1366" s="2" t="s">
        <v>70</v>
      </c>
      <c r="G1366" s="2" t="str">
        <f>"1-15/NOS-120/14"</f>
        <v>1-15/NOS-120/14</v>
      </c>
      <c r="H1366" s="2" t="str">
        <f t="shared" si="32"/>
        <v>Ugovor - narudžbenica (periodični predmet)</v>
      </c>
      <c r="I1366" s="2" t="s">
        <v>19</v>
      </c>
      <c r="J1366" s="3" t="str">
        <f>"25.920,00"</f>
        <v>25.920,00</v>
      </c>
      <c r="K1366" s="2" t="s">
        <v>1384</v>
      </c>
      <c r="L1366" s="2" t="s">
        <v>1381</v>
      </c>
      <c r="M1366" s="2" t="s">
        <v>74</v>
      </c>
      <c r="N1366" s="2" t="str">
        <f>"19.11.2015"</f>
        <v>19.11.2015</v>
      </c>
      <c r="O1366" s="3" t="str">
        <f>"25.920,00"</f>
        <v>25.920,00</v>
      </c>
      <c r="P1366" s="4"/>
    </row>
    <row r="1367" spans="2:16" ht="63" x14ac:dyDescent="0.25">
      <c r="B1367" s="2">
        <v>1134</v>
      </c>
      <c r="C1367" s="2" t="str">
        <f>"13-15/NOS-122/14"</f>
        <v>13-15/NOS-122/14</v>
      </c>
      <c r="D1367" s="2" t="s">
        <v>16</v>
      </c>
      <c r="E1367" s="2" t="s">
        <v>1250</v>
      </c>
      <c r="F1367" s="2" t="s">
        <v>58</v>
      </c>
      <c r="G1367" s="2" t="str">
        <f>"13-15/NOS-122/14"</f>
        <v>13-15/NOS-122/14</v>
      </c>
      <c r="H1367" s="2" t="str">
        <f t="shared" si="32"/>
        <v>Ugovor - narudžbenica (periodični predmet)</v>
      </c>
      <c r="I1367" s="2" t="s">
        <v>19</v>
      </c>
      <c r="J1367" s="3" t="str">
        <f>"733,50"</f>
        <v>733,50</v>
      </c>
      <c r="K1367" s="2" t="s">
        <v>1384</v>
      </c>
      <c r="L1367" s="2" t="s">
        <v>1381</v>
      </c>
      <c r="M1367" s="2" t="s">
        <v>1378</v>
      </c>
      <c r="N1367" s="2" t="str">
        <f>"04.01.2016"</f>
        <v>04.01.2016</v>
      </c>
      <c r="O1367" s="3" t="str">
        <f>"733,50"</f>
        <v>733,50</v>
      </c>
      <c r="P1367" s="4"/>
    </row>
    <row r="1368" spans="2:16" s="15" customFormat="1" ht="63" x14ac:dyDescent="0.25">
      <c r="B1368" s="12">
        <v>1135</v>
      </c>
      <c r="C1368" s="12" t="str">
        <f>"25-15/NOS-102/11"</f>
        <v>25-15/NOS-102/11</v>
      </c>
      <c r="D1368" s="12" t="s">
        <v>16</v>
      </c>
      <c r="E1368" s="12" t="s">
        <v>1250</v>
      </c>
      <c r="F1368" s="12" t="s">
        <v>1357</v>
      </c>
      <c r="G1368" s="12" t="str">
        <f>"25-15/NOS-102/11"</f>
        <v>25-15/NOS-102/11</v>
      </c>
      <c r="H1368" s="12" t="str">
        <f t="shared" si="32"/>
        <v>Ugovor - narudžbenica (periodični predmet)</v>
      </c>
      <c r="I1368" s="12" t="s">
        <v>19</v>
      </c>
      <c r="J1368" s="13" t="str">
        <f>"17.132,29"</f>
        <v>17.132,29</v>
      </c>
      <c r="K1368" s="12" t="s">
        <v>1148</v>
      </c>
      <c r="L1368" s="12" t="s">
        <v>1381</v>
      </c>
      <c r="M1368" s="12" t="s">
        <v>454</v>
      </c>
      <c r="N1368" s="12" t="s">
        <v>23</v>
      </c>
      <c r="O1368" s="13" t="str">
        <f>"0,00"</f>
        <v>0,00</v>
      </c>
      <c r="P1368" s="14"/>
    </row>
    <row r="1369" spans="2:16" ht="63" x14ac:dyDescent="0.25">
      <c r="B1369" s="2">
        <v>1136</v>
      </c>
      <c r="C1369" s="2" t="str">
        <f>"4-15/NOS-75-G/15"</f>
        <v>4-15/NOS-75-G/15</v>
      </c>
      <c r="D1369" s="2" t="s">
        <v>16</v>
      </c>
      <c r="E1369" s="2" t="s">
        <v>1250</v>
      </c>
      <c r="F1369" s="2" t="s">
        <v>1337</v>
      </c>
      <c r="G1369" s="2" t="str">
        <f>"4-15/NOS-75-G/15"</f>
        <v>4-15/NOS-75-G/15</v>
      </c>
      <c r="H1369" s="2" t="str">
        <f t="shared" si="32"/>
        <v>Ugovor - narudžbenica (periodični predmet)</v>
      </c>
      <c r="I1369" s="2" t="s">
        <v>19</v>
      </c>
      <c r="J1369" s="3" t="str">
        <f>"2.303,20"</f>
        <v>2.303,20</v>
      </c>
      <c r="K1369" s="2" t="s">
        <v>1384</v>
      </c>
      <c r="L1369" s="2" t="s">
        <v>1381</v>
      </c>
      <c r="M1369" s="2" t="s">
        <v>613</v>
      </c>
      <c r="N1369" s="2" t="str">
        <f>"16.12.2015"</f>
        <v>16.12.2015</v>
      </c>
      <c r="O1369" s="3" t="str">
        <f>"2.170,00"</f>
        <v>2.170,00</v>
      </c>
      <c r="P1369" s="4"/>
    </row>
    <row r="1370" spans="2:16" s="15" customFormat="1" ht="63" x14ac:dyDescent="0.25">
      <c r="B1370" s="12">
        <v>1137</v>
      </c>
      <c r="C1370" s="12" t="str">
        <f>"5-15/NOS-75-I/15"</f>
        <v>5-15/NOS-75-I/15</v>
      </c>
      <c r="D1370" s="12" t="s">
        <v>16</v>
      </c>
      <c r="E1370" s="12" t="s">
        <v>1250</v>
      </c>
      <c r="F1370" s="12" t="s">
        <v>1337</v>
      </c>
      <c r="G1370" s="12" t="str">
        <f>"5-15/NOS-75-I/15"</f>
        <v>5-15/NOS-75-I/15</v>
      </c>
      <c r="H1370" s="12" t="str">
        <f t="shared" si="32"/>
        <v>Ugovor - narudžbenica (periodični predmet)</v>
      </c>
      <c r="I1370" s="12" t="s">
        <v>19</v>
      </c>
      <c r="J1370" s="13" t="str">
        <f>"1.235,00"</f>
        <v>1.235,00</v>
      </c>
      <c r="K1370" s="12" t="s">
        <v>1384</v>
      </c>
      <c r="L1370" s="12" t="s">
        <v>1381</v>
      </c>
      <c r="M1370" s="12" t="s">
        <v>612</v>
      </c>
      <c r="N1370" s="12" t="s">
        <v>23</v>
      </c>
      <c r="O1370" s="13" t="str">
        <f>"0,00"</f>
        <v>0,00</v>
      </c>
      <c r="P1370" s="14"/>
    </row>
    <row r="1371" spans="2:16" ht="63" x14ac:dyDescent="0.25">
      <c r="B1371" s="2">
        <v>1138</v>
      </c>
      <c r="C1371" s="2" t="str">
        <f>"7-15/NOS-19/15"</f>
        <v>7-15/NOS-19/15</v>
      </c>
      <c r="D1371" s="2" t="s">
        <v>16</v>
      </c>
      <c r="E1371" s="2" t="s">
        <v>1250</v>
      </c>
      <c r="F1371" s="2" t="s">
        <v>277</v>
      </c>
      <c r="G1371" s="2" t="str">
        <f>"7-15/NOS-19/15"</f>
        <v>7-15/NOS-19/15</v>
      </c>
      <c r="H1371" s="2" t="str">
        <f t="shared" si="32"/>
        <v>Ugovor - narudžbenica (periodični predmet)</v>
      </c>
      <c r="I1371" s="2" t="s">
        <v>19</v>
      </c>
      <c r="J1371" s="3" t="str">
        <f>"4.524,60"</f>
        <v>4.524,60</v>
      </c>
      <c r="K1371" s="2" t="s">
        <v>1148</v>
      </c>
      <c r="L1371" s="2" t="s">
        <v>1381</v>
      </c>
      <c r="M1371" s="2" t="s">
        <v>44</v>
      </c>
      <c r="N1371" s="2" t="str">
        <f>"20.11.2015"</f>
        <v>20.11.2015</v>
      </c>
      <c r="O1371" s="3" t="str">
        <f>"4.524,60"</f>
        <v>4.524,60</v>
      </c>
      <c r="P1371" s="4"/>
    </row>
    <row r="1372" spans="2:16" ht="63" x14ac:dyDescent="0.25">
      <c r="B1372" s="2">
        <v>1139</v>
      </c>
      <c r="C1372" s="2" t="str">
        <f>"8-15/NOS-75-A/15"</f>
        <v>8-15/NOS-75-A/15</v>
      </c>
      <c r="D1372" s="2" t="s">
        <v>16</v>
      </c>
      <c r="E1372" s="2" t="s">
        <v>1250</v>
      </c>
      <c r="F1372" s="2" t="s">
        <v>1337</v>
      </c>
      <c r="G1372" s="2" t="str">
        <f>"8-15/NOS-75-A/15"</f>
        <v>8-15/NOS-75-A/15</v>
      </c>
      <c r="H1372" s="2" t="str">
        <f t="shared" si="32"/>
        <v>Ugovor - narudžbenica (periodični predmet)</v>
      </c>
      <c r="I1372" s="2" t="s">
        <v>19</v>
      </c>
      <c r="J1372" s="3" t="str">
        <f>"17.003,00"</f>
        <v>17.003,00</v>
      </c>
      <c r="K1372" s="2" t="s">
        <v>1148</v>
      </c>
      <c r="L1372" s="2" t="s">
        <v>1381</v>
      </c>
      <c r="M1372" s="2" t="s">
        <v>218</v>
      </c>
      <c r="N1372" s="2" t="str">
        <f>"11.01.2016"</f>
        <v>11.01.2016</v>
      </c>
      <c r="O1372" s="3" t="str">
        <f>"15.491,00"</f>
        <v>15.491,00</v>
      </c>
      <c r="P1372" s="4"/>
    </row>
    <row r="1373" spans="2:16" ht="63" x14ac:dyDescent="0.25">
      <c r="B1373" s="2">
        <v>1140</v>
      </c>
      <c r="C1373" s="2" t="str">
        <f>"11-15/NOS-118/14"</f>
        <v>11-15/NOS-118/14</v>
      </c>
      <c r="D1373" s="2" t="s">
        <v>85</v>
      </c>
      <c r="E1373" s="2" t="s">
        <v>1250</v>
      </c>
      <c r="F1373" s="2" t="s">
        <v>86</v>
      </c>
      <c r="G1373" s="2" t="str">
        <f>"11-15/NOS-118/14"</f>
        <v>11-15/NOS-118/14</v>
      </c>
      <c r="H1373" s="2" t="str">
        <f t="shared" si="32"/>
        <v>Ugovor - narudžbenica (periodični predmet)</v>
      </c>
      <c r="I1373" s="2" t="s">
        <v>19</v>
      </c>
      <c r="J1373" s="3" t="str">
        <f>"109.995,00"</f>
        <v>109.995,00</v>
      </c>
      <c r="K1373" s="2" t="s">
        <v>1384</v>
      </c>
      <c r="L1373" s="2" t="s">
        <v>1370</v>
      </c>
      <c r="M1373" s="2" t="s">
        <v>89</v>
      </c>
      <c r="N1373" s="2" t="str">
        <f>"23.11.2015"</f>
        <v>23.11.2015</v>
      </c>
      <c r="O1373" s="3" t="str">
        <f>"107.405,00"</f>
        <v>107.405,00</v>
      </c>
      <c r="P1373" s="4"/>
    </row>
    <row r="1374" spans="2:16" ht="63" x14ac:dyDescent="0.25">
      <c r="B1374" s="2">
        <v>1141</v>
      </c>
      <c r="C1374" s="2" t="str">
        <f>"16-15/NOS-47/14"</f>
        <v>16-15/NOS-47/14</v>
      </c>
      <c r="D1374" s="2" t="s">
        <v>16</v>
      </c>
      <c r="E1374" s="2" t="s">
        <v>1250</v>
      </c>
      <c r="F1374" s="2" t="s">
        <v>1298</v>
      </c>
      <c r="G1374" s="2" t="str">
        <f>"16-15/NOS-47/14"</f>
        <v>16-15/NOS-47/14</v>
      </c>
      <c r="H1374" s="2" t="str">
        <f t="shared" si="32"/>
        <v>Ugovor - narudžbenica (periodični predmet)</v>
      </c>
      <c r="I1374" s="2" t="s">
        <v>19</v>
      </c>
      <c r="J1374" s="3" t="str">
        <f>"17.292,65"</f>
        <v>17.292,65</v>
      </c>
      <c r="K1374" s="2" t="s">
        <v>1152</v>
      </c>
      <c r="L1374" s="2" t="s">
        <v>1382</v>
      </c>
      <c r="M1374" s="2" t="s">
        <v>960</v>
      </c>
      <c r="N1374" s="2" t="str">
        <f>"11.12.2015"</f>
        <v>11.12.2015</v>
      </c>
      <c r="O1374" s="3" t="str">
        <f>"17.292,65"</f>
        <v>17.292,65</v>
      </c>
      <c r="P1374" s="4"/>
    </row>
    <row r="1375" spans="2:16" ht="63" x14ac:dyDescent="0.25">
      <c r="B1375" s="2">
        <v>1142</v>
      </c>
      <c r="C1375" s="2" t="str">
        <f>"2-15/NOS-217/13"</f>
        <v>2-15/NOS-217/13</v>
      </c>
      <c r="D1375" s="2" t="s">
        <v>16</v>
      </c>
      <c r="E1375" s="2" t="s">
        <v>1250</v>
      </c>
      <c r="F1375" s="2" t="s">
        <v>1385</v>
      </c>
      <c r="G1375" s="2" t="str">
        <f>"2-15/NOS-217/13"</f>
        <v>2-15/NOS-217/13</v>
      </c>
      <c r="H1375" s="2" t="str">
        <f t="shared" si="32"/>
        <v>Ugovor - narudžbenica (periodični predmet)</v>
      </c>
      <c r="I1375" s="2" t="s">
        <v>19</v>
      </c>
      <c r="J1375" s="3" t="str">
        <f>"51.300,00"</f>
        <v>51.300,00</v>
      </c>
      <c r="K1375" s="2" t="s">
        <v>1152</v>
      </c>
      <c r="L1375" s="2" t="s">
        <v>1382</v>
      </c>
      <c r="M1375" s="2" t="s">
        <v>73</v>
      </c>
      <c r="N1375" s="2" t="str">
        <f>"14.12.2015"</f>
        <v>14.12.2015</v>
      </c>
      <c r="O1375" s="3" t="str">
        <f>"30.000,00"</f>
        <v>30.000,00</v>
      </c>
      <c r="P1375" s="4"/>
    </row>
    <row r="1376" spans="2:16" ht="63" x14ac:dyDescent="0.25">
      <c r="B1376" s="2">
        <v>1143</v>
      </c>
      <c r="C1376" s="2" t="str">
        <f>"9-15/NOS-99/14"</f>
        <v>9-15/NOS-99/14</v>
      </c>
      <c r="D1376" s="2" t="s">
        <v>16</v>
      </c>
      <c r="E1376" s="2" t="s">
        <v>1250</v>
      </c>
      <c r="F1376" s="2" t="s">
        <v>31</v>
      </c>
      <c r="G1376" s="2" t="str">
        <f>"9-15/NOS-99/14"</f>
        <v>9-15/NOS-99/14</v>
      </c>
      <c r="H1376" s="2" t="str">
        <f t="shared" si="32"/>
        <v>Ugovor - narudžbenica (periodični predmet)</v>
      </c>
      <c r="I1376" s="2" t="s">
        <v>19</v>
      </c>
      <c r="J1376" s="3" t="str">
        <f>"10.423,50"</f>
        <v>10.423,50</v>
      </c>
      <c r="K1376" s="2" t="s">
        <v>1152</v>
      </c>
      <c r="L1376" s="2" t="s">
        <v>1382</v>
      </c>
      <c r="M1376" s="2" t="s">
        <v>34</v>
      </c>
      <c r="N1376" s="2" t="str">
        <f>"11.12.2015"</f>
        <v>11.12.2015</v>
      </c>
      <c r="O1376" s="3" t="str">
        <f>"10.423,50"</f>
        <v>10.423,50</v>
      </c>
      <c r="P1376" s="4"/>
    </row>
    <row r="1377" spans="2:16" ht="63" x14ac:dyDescent="0.25">
      <c r="B1377" s="2">
        <v>1144</v>
      </c>
      <c r="C1377" s="2" t="str">
        <f>"5-15/NOS-97-A/15"</f>
        <v>5-15/NOS-97-A/15</v>
      </c>
      <c r="D1377" s="2" t="s">
        <v>16</v>
      </c>
      <c r="E1377" s="2" t="s">
        <v>1250</v>
      </c>
      <c r="F1377" s="2" t="s">
        <v>1271</v>
      </c>
      <c r="G1377" s="2" t="str">
        <f>"5-15/NOS-97-A/15"</f>
        <v>5-15/NOS-97-A/15</v>
      </c>
      <c r="H1377" s="2" t="str">
        <f t="shared" si="32"/>
        <v>Ugovor - narudžbenica (periodični predmet)</v>
      </c>
      <c r="I1377" s="2" t="s">
        <v>19</v>
      </c>
      <c r="J1377" s="3" t="str">
        <f>"16.134,90"</f>
        <v>16.134,90</v>
      </c>
      <c r="K1377" s="2" t="s">
        <v>1152</v>
      </c>
      <c r="L1377" s="2" t="s">
        <v>1382</v>
      </c>
      <c r="M1377" s="2" t="s">
        <v>44</v>
      </c>
      <c r="N1377" s="2" t="str">
        <f>"16.11.2015"</f>
        <v>16.11.2015</v>
      </c>
      <c r="O1377" s="3" t="str">
        <f>"16.134,90"</f>
        <v>16.134,90</v>
      </c>
      <c r="P1377" s="4"/>
    </row>
    <row r="1378" spans="2:16" ht="63" x14ac:dyDescent="0.25">
      <c r="B1378" s="2">
        <v>1145</v>
      </c>
      <c r="C1378" s="2" t="str">
        <f>"29-15/NOS-89/14"</f>
        <v>29-15/NOS-89/14</v>
      </c>
      <c r="D1378" s="2" t="s">
        <v>28</v>
      </c>
      <c r="E1378" s="2" t="s">
        <v>1250</v>
      </c>
      <c r="F1378" s="2" t="s">
        <v>1277</v>
      </c>
      <c r="G1378" s="2" t="str">
        <f>"29-15/NOS-89/14"</f>
        <v>29-15/NOS-89/14</v>
      </c>
      <c r="H1378" s="2" t="str">
        <f t="shared" si="32"/>
        <v>Ugovor - narudžbenica (periodični predmet)</v>
      </c>
      <c r="I1378" s="2" t="s">
        <v>19</v>
      </c>
      <c r="J1378" s="3" t="str">
        <f>"11.775,91"</f>
        <v>11.775,91</v>
      </c>
      <c r="K1378" s="2" t="s">
        <v>1152</v>
      </c>
      <c r="L1378" s="2" t="s">
        <v>1382</v>
      </c>
      <c r="M1378" s="2" t="s">
        <v>868</v>
      </c>
      <c r="N1378" s="2" t="str">
        <f>"16.11.2015"</f>
        <v>16.11.2015</v>
      </c>
      <c r="O1378" s="3" t="str">
        <f>"5.211,22"</f>
        <v>5.211,22</v>
      </c>
      <c r="P1378" s="4"/>
    </row>
    <row r="1379" spans="2:16" ht="63" x14ac:dyDescent="0.25">
      <c r="B1379" s="2">
        <v>1146</v>
      </c>
      <c r="C1379" s="2" t="str">
        <f>"6-15/NOS-75-F/15"</f>
        <v>6-15/NOS-75-F/15</v>
      </c>
      <c r="D1379" s="2" t="s">
        <v>16</v>
      </c>
      <c r="E1379" s="2" t="s">
        <v>1250</v>
      </c>
      <c r="F1379" s="2" t="s">
        <v>1337</v>
      </c>
      <c r="G1379" s="2" t="str">
        <f>"6-15/NOS-75-F/15"</f>
        <v>6-15/NOS-75-F/15</v>
      </c>
      <c r="H1379" s="2" t="str">
        <f t="shared" si="32"/>
        <v>Ugovor - narudžbenica (periodični predmet)</v>
      </c>
      <c r="I1379" s="2" t="s">
        <v>19</v>
      </c>
      <c r="J1379" s="3" t="str">
        <f>"117.050,00"</f>
        <v>117.050,00</v>
      </c>
      <c r="K1379" s="2" t="s">
        <v>1152</v>
      </c>
      <c r="L1379" s="2" t="s">
        <v>1382</v>
      </c>
      <c r="M1379" s="2" t="s">
        <v>218</v>
      </c>
      <c r="N1379" s="2" t="str">
        <f>"05.01.2016"</f>
        <v>05.01.2016</v>
      </c>
      <c r="O1379" s="3" t="str">
        <f>"117.050,00"</f>
        <v>117.050,00</v>
      </c>
      <c r="P1379" s="4"/>
    </row>
    <row r="1380" spans="2:16" ht="63" x14ac:dyDescent="0.25">
      <c r="B1380" s="2">
        <v>1147</v>
      </c>
      <c r="C1380" s="2" t="str">
        <f>"4-15/NOS-75-C/15"</f>
        <v>4-15/NOS-75-C/15</v>
      </c>
      <c r="D1380" s="2" t="s">
        <v>16</v>
      </c>
      <c r="E1380" s="2" t="s">
        <v>1250</v>
      </c>
      <c r="F1380" s="2" t="s">
        <v>1337</v>
      </c>
      <c r="G1380" s="2" t="str">
        <f>"4-15/NOS-75-C/15"</f>
        <v>4-15/NOS-75-C/15</v>
      </c>
      <c r="H1380" s="2" t="str">
        <f t="shared" si="32"/>
        <v>Ugovor - narudžbenica (periodični predmet)</v>
      </c>
      <c r="I1380" s="2" t="s">
        <v>19</v>
      </c>
      <c r="J1380" s="3" t="str">
        <f>"23.192,00"</f>
        <v>23.192,00</v>
      </c>
      <c r="K1380" s="2" t="s">
        <v>1152</v>
      </c>
      <c r="L1380" s="2" t="s">
        <v>1382</v>
      </c>
      <c r="M1380" s="2" t="s">
        <v>612</v>
      </c>
      <c r="N1380" s="2" t="str">
        <f>"23.11.2015"</f>
        <v>23.11.2015</v>
      </c>
      <c r="O1380" s="3" t="str">
        <f>"22.750,00"</f>
        <v>22.750,00</v>
      </c>
      <c r="P1380" s="4"/>
    </row>
    <row r="1381" spans="2:16" ht="63" x14ac:dyDescent="0.25">
      <c r="B1381" s="2">
        <v>1148</v>
      </c>
      <c r="C1381" s="2" t="str">
        <f>"5-15/NOS-83-A/15"</f>
        <v>5-15/NOS-83-A/15</v>
      </c>
      <c r="D1381" s="2" t="s">
        <v>28</v>
      </c>
      <c r="E1381" s="2" t="s">
        <v>1250</v>
      </c>
      <c r="F1381" s="2" t="s">
        <v>1340</v>
      </c>
      <c r="G1381" s="2" t="str">
        <f>"5-15/NOS-83-A/15"</f>
        <v>5-15/NOS-83-A/15</v>
      </c>
      <c r="H1381" s="2" t="str">
        <f t="shared" si="32"/>
        <v>Ugovor - narudžbenica (periodični predmet)</v>
      </c>
      <c r="I1381" s="2" t="s">
        <v>19</v>
      </c>
      <c r="J1381" s="3" t="str">
        <f>"4.511,00"</f>
        <v>4.511,00</v>
      </c>
      <c r="K1381" s="2" t="s">
        <v>1152</v>
      </c>
      <c r="L1381" s="2" t="s">
        <v>1382</v>
      </c>
      <c r="M1381" s="2" t="s">
        <v>1378</v>
      </c>
      <c r="N1381" s="2" t="str">
        <f>"12.11.2015"</f>
        <v>12.11.2015</v>
      </c>
      <c r="O1381" s="3" t="str">
        <f>"4.136,00"</f>
        <v>4.136,00</v>
      </c>
      <c r="P1381" s="4"/>
    </row>
    <row r="1382" spans="2:16" ht="63" x14ac:dyDescent="0.25">
      <c r="B1382" s="2">
        <v>1149</v>
      </c>
      <c r="C1382" s="2" t="str">
        <f>"56-15/NOS-21/14"</f>
        <v>56-15/NOS-21/14</v>
      </c>
      <c r="D1382" s="2" t="s">
        <v>28</v>
      </c>
      <c r="E1382" s="2" t="s">
        <v>1250</v>
      </c>
      <c r="F1382" s="2" t="s">
        <v>1349</v>
      </c>
      <c r="G1382" s="2" t="str">
        <f>"56-15/NOS-21/14"</f>
        <v>56-15/NOS-21/14</v>
      </c>
      <c r="H1382" s="2" t="str">
        <f t="shared" si="32"/>
        <v>Ugovor - narudžbenica (periodični predmet)</v>
      </c>
      <c r="I1382" s="2" t="s">
        <v>19</v>
      </c>
      <c r="J1382" s="3" t="str">
        <f>"23.990,00"</f>
        <v>23.990,00</v>
      </c>
      <c r="K1382" s="2" t="s">
        <v>1150</v>
      </c>
      <c r="L1382" s="2" t="s">
        <v>1382</v>
      </c>
      <c r="M1382" s="2" t="s">
        <v>944</v>
      </c>
      <c r="N1382" s="2" t="str">
        <f>"12.01.2016"</f>
        <v>12.01.2016</v>
      </c>
      <c r="O1382" s="3" t="str">
        <f>"8.246,00"</f>
        <v>8.246,00</v>
      </c>
      <c r="P1382" s="4"/>
    </row>
    <row r="1383" spans="2:16" ht="63" x14ac:dyDescent="0.25">
      <c r="B1383" s="2">
        <v>1150</v>
      </c>
      <c r="C1383" s="2" t="str">
        <f>"7-15/NOS-35/15"</f>
        <v>7-15/NOS-35/15</v>
      </c>
      <c r="D1383" s="2" t="s">
        <v>16</v>
      </c>
      <c r="E1383" s="2" t="s">
        <v>1250</v>
      </c>
      <c r="F1383" s="2" t="s">
        <v>243</v>
      </c>
      <c r="G1383" s="2" t="str">
        <f>"7-15/NOS-35/15"</f>
        <v>7-15/NOS-35/15</v>
      </c>
      <c r="H1383" s="2" t="str">
        <f t="shared" si="32"/>
        <v>Ugovor - narudžbenica (periodični predmet)</v>
      </c>
      <c r="I1383" s="2" t="s">
        <v>19</v>
      </c>
      <c r="J1383" s="3" t="str">
        <f>"17.268,00"</f>
        <v>17.268,00</v>
      </c>
      <c r="K1383" s="2" t="s">
        <v>1150</v>
      </c>
      <c r="L1383" s="2" t="s">
        <v>1386</v>
      </c>
      <c r="M1383" s="2" t="s">
        <v>246</v>
      </c>
      <c r="N1383" s="2" t="str">
        <f>"12.11.2015"</f>
        <v>12.11.2015</v>
      </c>
      <c r="O1383" s="3" t="str">
        <f>"10.108,80"</f>
        <v>10.108,80</v>
      </c>
      <c r="P1383" s="4"/>
    </row>
    <row r="1384" spans="2:16" ht="63" x14ac:dyDescent="0.25">
      <c r="B1384" s="2">
        <v>1151</v>
      </c>
      <c r="C1384" s="2" t="str">
        <f>"9-15/NOS-70/14"</f>
        <v>9-15/NOS-70/14</v>
      </c>
      <c r="D1384" s="2" t="s">
        <v>16</v>
      </c>
      <c r="E1384" s="2" t="s">
        <v>1250</v>
      </c>
      <c r="F1384" s="2" t="s">
        <v>1287</v>
      </c>
      <c r="G1384" s="2" t="str">
        <f>"9-15/NOS-70/14"</f>
        <v>9-15/NOS-70/14</v>
      </c>
      <c r="H1384" s="2" t="str">
        <f t="shared" si="32"/>
        <v>Ugovor - narudžbenica (periodični predmet)</v>
      </c>
      <c r="I1384" s="2" t="s">
        <v>19</v>
      </c>
      <c r="J1384" s="3" t="str">
        <f>"8.649,00"</f>
        <v>8.649,00</v>
      </c>
      <c r="K1384" s="2" t="s">
        <v>1150</v>
      </c>
      <c r="L1384" s="2" t="s">
        <v>1382</v>
      </c>
      <c r="M1384" s="2" t="s">
        <v>897</v>
      </c>
      <c r="N1384" s="2" t="str">
        <f>"10.11.2015"</f>
        <v>10.11.2015</v>
      </c>
      <c r="O1384" s="3" t="str">
        <f>"8.649,00"</f>
        <v>8.649,00</v>
      </c>
      <c r="P1384" s="4"/>
    </row>
    <row r="1385" spans="2:16" ht="63" x14ac:dyDescent="0.25">
      <c r="B1385" s="2">
        <v>1152</v>
      </c>
      <c r="C1385" s="2" t="str">
        <f>"25-15/NOS-97/14"</f>
        <v>25-15/NOS-97/14</v>
      </c>
      <c r="D1385" s="2" t="s">
        <v>16</v>
      </c>
      <c r="E1385" s="2" t="s">
        <v>1250</v>
      </c>
      <c r="F1385" s="2" t="s">
        <v>1285</v>
      </c>
      <c r="G1385" s="2" t="str">
        <f>"25-15/NOS-97/14"</f>
        <v>25-15/NOS-97/14</v>
      </c>
      <c r="H1385" s="2" t="str">
        <f t="shared" si="32"/>
        <v>Ugovor - narudžbenica (periodični predmet)</v>
      </c>
      <c r="I1385" s="2" t="s">
        <v>19</v>
      </c>
      <c r="J1385" s="3" t="str">
        <f>"18.213,08"</f>
        <v>18.213,08</v>
      </c>
      <c r="K1385" s="2" t="s">
        <v>1150</v>
      </c>
      <c r="L1385" s="2" t="s">
        <v>1382</v>
      </c>
      <c r="M1385" s="2" t="s">
        <v>165</v>
      </c>
      <c r="N1385" s="2" t="str">
        <f>"19.11.2015"</f>
        <v>19.11.2015</v>
      </c>
      <c r="O1385" s="3" t="str">
        <f>"18.083,34"</f>
        <v>18.083,34</v>
      </c>
      <c r="P1385" s="4"/>
    </row>
    <row r="1386" spans="2:16" s="19" customFormat="1" ht="63" x14ac:dyDescent="0.25">
      <c r="B1386" s="16">
        <v>1153</v>
      </c>
      <c r="C1386" s="16" t="str">
        <f>"9-15/NOS-40/14"</f>
        <v>9-15/NOS-40/14</v>
      </c>
      <c r="D1386" s="16" t="s">
        <v>16</v>
      </c>
      <c r="E1386" s="16" t="s">
        <v>1250</v>
      </c>
      <c r="F1386" s="16" t="s">
        <v>1210</v>
      </c>
      <c r="G1386" s="16" t="str">
        <f>"9-15/NOS-40/14"</f>
        <v>9-15/NOS-40/14</v>
      </c>
      <c r="H1386" s="16" t="str">
        <f t="shared" si="32"/>
        <v>Ugovor - narudžbenica (periodični predmet)</v>
      </c>
      <c r="I1386" s="16" t="s">
        <v>19</v>
      </c>
      <c r="J1386" s="17" t="str">
        <f>"12.650,71"</f>
        <v>12.650,71</v>
      </c>
      <c r="K1386" s="16" t="s">
        <v>1150</v>
      </c>
      <c r="L1386" s="16" t="s">
        <v>1386</v>
      </c>
      <c r="M1386" s="16" t="s">
        <v>805</v>
      </c>
      <c r="N1386" s="16" t="str">
        <f>"10.11.2015"</f>
        <v>10.11.2015</v>
      </c>
      <c r="O1386" s="17" t="str">
        <f>"12.650,71"</f>
        <v>12.650,71</v>
      </c>
      <c r="P1386" s="18"/>
    </row>
    <row r="1387" spans="2:16" ht="63" x14ac:dyDescent="0.25">
      <c r="B1387" s="2">
        <v>1154</v>
      </c>
      <c r="C1387" s="2" t="str">
        <f>"15-15/NOS-24/15"</f>
        <v>15-15/NOS-24/15</v>
      </c>
      <c r="D1387" s="2" t="s">
        <v>16</v>
      </c>
      <c r="E1387" s="2" t="s">
        <v>1250</v>
      </c>
      <c r="F1387" s="2" t="s">
        <v>305</v>
      </c>
      <c r="G1387" s="2" t="str">
        <f>"15-15/NOS-24/15"</f>
        <v>15-15/NOS-24/15</v>
      </c>
      <c r="H1387" s="2" t="str">
        <f t="shared" si="32"/>
        <v>Ugovor - narudžbenica (periodični predmet)</v>
      </c>
      <c r="I1387" s="2" t="s">
        <v>19</v>
      </c>
      <c r="J1387" s="3" t="str">
        <f>"60.725,00"</f>
        <v>60.725,00</v>
      </c>
      <c r="K1387" s="2" t="s">
        <v>1387</v>
      </c>
      <c r="L1387" s="2" t="s">
        <v>1386</v>
      </c>
      <c r="M1387" s="2" t="s">
        <v>218</v>
      </c>
      <c r="N1387" s="2" t="str">
        <f>"08.01.2016"</f>
        <v>08.01.2016</v>
      </c>
      <c r="O1387" s="3" t="str">
        <f>"60.445,00"</f>
        <v>60.445,00</v>
      </c>
      <c r="P1387" s="4"/>
    </row>
    <row r="1388" spans="2:16" ht="63" x14ac:dyDescent="0.25">
      <c r="B1388" s="2">
        <v>1155</v>
      </c>
      <c r="C1388" s="2" t="str">
        <f>"8-15/NOS-39/15"</f>
        <v>8-15/NOS-39/15</v>
      </c>
      <c r="D1388" s="2" t="s">
        <v>16</v>
      </c>
      <c r="E1388" s="2" t="s">
        <v>1250</v>
      </c>
      <c r="F1388" s="2" t="s">
        <v>300</v>
      </c>
      <c r="G1388" s="2" t="str">
        <f>"8-15/NOS-39/15"</f>
        <v>8-15/NOS-39/15</v>
      </c>
      <c r="H1388" s="2" t="str">
        <f t="shared" si="32"/>
        <v>Ugovor - narudžbenica (periodični predmet)</v>
      </c>
      <c r="I1388" s="2" t="s">
        <v>19</v>
      </c>
      <c r="J1388" s="3" t="str">
        <f>"26.614,10"</f>
        <v>26.614,10</v>
      </c>
      <c r="K1388" s="2" t="s">
        <v>1387</v>
      </c>
      <c r="L1388" s="2" t="s">
        <v>1386</v>
      </c>
      <c r="M1388" s="2" t="s">
        <v>303</v>
      </c>
      <c r="N1388" s="2" t="str">
        <f>"12.01.2016"</f>
        <v>12.01.2016</v>
      </c>
      <c r="O1388" s="3" t="str">
        <f>"26.071,05"</f>
        <v>26.071,05</v>
      </c>
      <c r="P1388" s="4"/>
    </row>
    <row r="1389" spans="2:16" ht="63" x14ac:dyDescent="0.25">
      <c r="B1389" s="2">
        <v>1156</v>
      </c>
      <c r="C1389" s="2" t="str">
        <f>"12-15/NOS-67/14"</f>
        <v>12-15/NOS-67/14</v>
      </c>
      <c r="D1389" s="2" t="s">
        <v>16</v>
      </c>
      <c r="E1389" s="2" t="s">
        <v>1250</v>
      </c>
      <c r="F1389" s="2" t="s">
        <v>1314</v>
      </c>
      <c r="G1389" s="2" t="str">
        <f>"12-15/NOS-67/14"</f>
        <v>12-15/NOS-67/14</v>
      </c>
      <c r="H1389" s="2" t="str">
        <f t="shared" si="32"/>
        <v>Ugovor - narudžbenica (periodični predmet)</v>
      </c>
      <c r="I1389" s="2" t="s">
        <v>19</v>
      </c>
      <c r="J1389" s="3" t="str">
        <f>"3.190,32"</f>
        <v>3.190,32</v>
      </c>
      <c r="K1389" s="2" t="s">
        <v>1387</v>
      </c>
      <c r="L1389" s="2" t="s">
        <v>1386</v>
      </c>
      <c r="M1389" s="2" t="s">
        <v>44</v>
      </c>
      <c r="N1389" s="2" t="str">
        <f>"16.11.2015"</f>
        <v>16.11.2015</v>
      </c>
      <c r="O1389" s="3" t="str">
        <f>"3.190,32"</f>
        <v>3.190,32</v>
      </c>
      <c r="P1389" s="4"/>
    </row>
    <row r="1390" spans="2:16" ht="63" x14ac:dyDescent="0.25">
      <c r="B1390" s="2">
        <v>1157</v>
      </c>
      <c r="C1390" s="2" t="str">
        <f>"4-15/NOS-70-B/15"</f>
        <v>4-15/NOS-70-B/15</v>
      </c>
      <c r="D1390" s="2" t="s">
        <v>16</v>
      </c>
      <c r="E1390" s="2" t="s">
        <v>1250</v>
      </c>
      <c r="F1390" s="2" t="s">
        <v>1342</v>
      </c>
      <c r="G1390" s="2" t="str">
        <f>"4-15/NOS-70-B/15"</f>
        <v>4-15/NOS-70-B/15</v>
      </c>
      <c r="H1390" s="2" t="str">
        <f t="shared" si="32"/>
        <v>Ugovor - narudžbenica (periodični predmet)</v>
      </c>
      <c r="I1390" s="2" t="s">
        <v>19</v>
      </c>
      <c r="J1390" s="3" t="str">
        <f>"5.940,00"</f>
        <v>5.940,00</v>
      </c>
      <c r="K1390" s="2" t="s">
        <v>1387</v>
      </c>
      <c r="L1390" s="2" t="s">
        <v>1386</v>
      </c>
      <c r="M1390" s="2" t="s">
        <v>508</v>
      </c>
      <c r="N1390" s="2" t="str">
        <f>"11.11.2015"</f>
        <v>11.11.2015</v>
      </c>
      <c r="O1390" s="3" t="str">
        <f>"5.940,00"</f>
        <v>5.940,00</v>
      </c>
      <c r="P1390" s="4"/>
    </row>
    <row r="1391" spans="2:16" ht="63" x14ac:dyDescent="0.25">
      <c r="B1391" s="2">
        <v>1158</v>
      </c>
      <c r="C1391" s="2" t="str">
        <f>"22-15/NOS-83/14"</f>
        <v>22-15/NOS-83/14</v>
      </c>
      <c r="D1391" s="2" t="s">
        <v>16</v>
      </c>
      <c r="E1391" s="2" t="s">
        <v>1250</v>
      </c>
      <c r="F1391" s="2" t="s">
        <v>1273</v>
      </c>
      <c r="G1391" s="2" t="str">
        <f>"22-15/NOS-83/14"</f>
        <v>22-15/NOS-83/14</v>
      </c>
      <c r="H1391" s="2" t="str">
        <f t="shared" si="32"/>
        <v>Ugovor - narudžbenica (periodični predmet)</v>
      </c>
      <c r="I1391" s="2" t="s">
        <v>19</v>
      </c>
      <c r="J1391" s="3" t="str">
        <f>"11.612,00"</f>
        <v>11.612,00</v>
      </c>
      <c r="K1391" s="2" t="s">
        <v>1387</v>
      </c>
      <c r="L1391" s="2" t="s">
        <v>1386</v>
      </c>
      <c r="M1391" s="2" t="s">
        <v>941</v>
      </c>
      <c r="N1391" s="2" t="str">
        <f>"13.11.2015"</f>
        <v>13.11.2015</v>
      </c>
      <c r="O1391" s="3" t="str">
        <f>"11.612,00"</f>
        <v>11.612,00</v>
      </c>
      <c r="P1391" s="4"/>
    </row>
    <row r="1392" spans="2:16" ht="63" x14ac:dyDescent="0.25">
      <c r="B1392" s="2">
        <v>1159</v>
      </c>
      <c r="C1392" s="2" t="str">
        <f>"10-15/NOS-203/13"</f>
        <v>10-15/NOS-203/13</v>
      </c>
      <c r="D1392" s="2" t="s">
        <v>16</v>
      </c>
      <c r="E1392" s="2" t="s">
        <v>1250</v>
      </c>
      <c r="F1392" s="2" t="s">
        <v>1303</v>
      </c>
      <c r="G1392" s="2" t="str">
        <f>"10-15/NOS-203/13"</f>
        <v>10-15/NOS-203/13</v>
      </c>
      <c r="H1392" s="2" t="str">
        <f t="shared" si="32"/>
        <v>Ugovor - narudžbenica (periodični predmet)</v>
      </c>
      <c r="I1392" s="2" t="s">
        <v>19</v>
      </c>
      <c r="J1392" s="3" t="str">
        <f>"6.679,92"</f>
        <v>6.679,92</v>
      </c>
      <c r="K1392" s="2" t="s">
        <v>1387</v>
      </c>
      <c r="L1392" s="2" t="s">
        <v>1386</v>
      </c>
      <c r="M1392" s="2" t="s">
        <v>1305</v>
      </c>
      <c r="N1392" s="2" t="str">
        <f>"10.11.2015"</f>
        <v>10.11.2015</v>
      </c>
      <c r="O1392" s="3" t="str">
        <f>"6.679,92"</f>
        <v>6.679,92</v>
      </c>
      <c r="P1392" s="4"/>
    </row>
    <row r="1393" spans="2:16" ht="63" x14ac:dyDescent="0.25">
      <c r="B1393" s="2">
        <v>1160</v>
      </c>
      <c r="C1393" s="2" t="str">
        <f>"8-15/NOS-209/13"</f>
        <v>8-15/NOS-209/13</v>
      </c>
      <c r="D1393" s="2" t="s">
        <v>16</v>
      </c>
      <c r="E1393" s="2" t="s">
        <v>1250</v>
      </c>
      <c r="F1393" s="2" t="s">
        <v>1296</v>
      </c>
      <c r="G1393" s="2" t="str">
        <f>"8-15/NOS-209/13"</f>
        <v>8-15/NOS-209/13</v>
      </c>
      <c r="H1393" s="2" t="str">
        <f t="shared" si="32"/>
        <v>Ugovor - narudžbenica (periodični predmet)</v>
      </c>
      <c r="I1393" s="2" t="s">
        <v>19</v>
      </c>
      <c r="J1393" s="3" t="str">
        <f>"3.872,59"</f>
        <v>3.872,59</v>
      </c>
      <c r="K1393" s="2" t="s">
        <v>1387</v>
      </c>
      <c r="L1393" s="2" t="s">
        <v>1386</v>
      </c>
      <c r="M1393" s="2" t="s">
        <v>111</v>
      </c>
      <c r="N1393" s="2" t="str">
        <f>"01.12.2015"</f>
        <v>01.12.2015</v>
      </c>
      <c r="O1393" s="3" t="str">
        <f>"2.957,59"</f>
        <v>2.957,59</v>
      </c>
      <c r="P1393" s="4"/>
    </row>
    <row r="1394" spans="2:16" ht="63" x14ac:dyDescent="0.25">
      <c r="B1394" s="2">
        <v>1161</v>
      </c>
      <c r="C1394" s="2" t="str">
        <f>"4-15/NOS-110/15"</f>
        <v>4-15/NOS-110/15</v>
      </c>
      <c r="D1394" s="2" t="s">
        <v>28</v>
      </c>
      <c r="E1394" s="2" t="s">
        <v>1250</v>
      </c>
      <c r="F1394" s="2" t="s">
        <v>463</v>
      </c>
      <c r="G1394" s="2" t="str">
        <f>"4-15/NOS-110/15"</f>
        <v>4-15/NOS-110/15</v>
      </c>
      <c r="H1394" s="2" t="str">
        <f t="shared" si="32"/>
        <v>Ugovor - narudžbenica (periodični predmet)</v>
      </c>
      <c r="I1394" s="2" t="s">
        <v>19</v>
      </c>
      <c r="J1394" s="3" t="str">
        <f>"7.022,97"</f>
        <v>7.022,97</v>
      </c>
      <c r="K1394" s="2" t="s">
        <v>1387</v>
      </c>
      <c r="L1394" s="2" t="s">
        <v>1386</v>
      </c>
      <c r="M1394" s="2" t="s">
        <v>466</v>
      </c>
      <c r="N1394" s="2" t="str">
        <f>"19.11.2015"</f>
        <v>19.11.2015</v>
      </c>
      <c r="O1394" s="3" t="str">
        <f>"5.620,81"</f>
        <v>5.620,81</v>
      </c>
      <c r="P1394" s="4"/>
    </row>
    <row r="1395" spans="2:16" ht="63" x14ac:dyDescent="0.25">
      <c r="B1395" s="2">
        <v>1162</v>
      </c>
      <c r="C1395" s="2" t="str">
        <f>"14-15/NOS-210-A/13"</f>
        <v>14-15/NOS-210-A/13</v>
      </c>
      <c r="D1395" s="2" t="s">
        <v>85</v>
      </c>
      <c r="E1395" s="2" t="s">
        <v>1250</v>
      </c>
      <c r="F1395" s="2" t="s">
        <v>1294</v>
      </c>
      <c r="G1395" s="2" t="str">
        <f>"14-15/NOS-210-A/13"</f>
        <v>14-15/NOS-210-A/13</v>
      </c>
      <c r="H1395" s="2" t="str">
        <f t="shared" si="32"/>
        <v>Ugovor - narudžbenica (periodični predmet)</v>
      </c>
      <c r="I1395" s="2" t="s">
        <v>19</v>
      </c>
      <c r="J1395" s="3" t="str">
        <f>"9.538,00"</f>
        <v>9.538,00</v>
      </c>
      <c r="K1395" s="2" t="s">
        <v>1387</v>
      </c>
      <c r="L1395" s="2" t="s">
        <v>1386</v>
      </c>
      <c r="M1395" s="2" t="s">
        <v>84</v>
      </c>
      <c r="N1395" s="2" t="str">
        <f>"04.12.2015"</f>
        <v>04.12.2015</v>
      </c>
      <c r="O1395" s="3" t="str">
        <f>"9.538,00"</f>
        <v>9.538,00</v>
      </c>
      <c r="P1395" s="4"/>
    </row>
    <row r="1396" spans="2:16" ht="63" x14ac:dyDescent="0.25">
      <c r="B1396" s="2">
        <v>1163</v>
      </c>
      <c r="C1396" s="2" t="str">
        <f>"1-15/NOS-70-E/15"</f>
        <v>1-15/NOS-70-E/15</v>
      </c>
      <c r="D1396" s="2" t="s">
        <v>16</v>
      </c>
      <c r="E1396" s="2" t="s">
        <v>1250</v>
      </c>
      <c r="F1396" s="2" t="s">
        <v>1342</v>
      </c>
      <c r="G1396" s="2" t="str">
        <f>"1-15/NOS-70-E/15"</f>
        <v>1-15/NOS-70-E/15</v>
      </c>
      <c r="H1396" s="2" t="str">
        <f t="shared" si="32"/>
        <v>Ugovor - narudžbenica (periodični predmet)</v>
      </c>
      <c r="I1396" s="2" t="s">
        <v>19</v>
      </c>
      <c r="J1396" s="3" t="str">
        <f>"12.581,00"</f>
        <v>12.581,00</v>
      </c>
      <c r="K1396" s="2" t="s">
        <v>1167</v>
      </c>
      <c r="L1396" s="2" t="s">
        <v>1386</v>
      </c>
      <c r="M1396" s="2" t="s">
        <v>508</v>
      </c>
      <c r="N1396" s="2" t="str">
        <f>"11.11.2015"</f>
        <v>11.11.2015</v>
      </c>
      <c r="O1396" s="3" t="str">
        <f>"12.581,00"</f>
        <v>12.581,00</v>
      </c>
      <c r="P1396" s="4"/>
    </row>
    <row r="1397" spans="2:16" ht="63" x14ac:dyDescent="0.25">
      <c r="B1397" s="2">
        <v>1164</v>
      </c>
      <c r="C1397" s="2" t="str">
        <f>"7-15/NOS-70-A/15"</f>
        <v>7-15/NOS-70-A/15</v>
      </c>
      <c r="D1397" s="2" t="s">
        <v>28</v>
      </c>
      <c r="E1397" s="2" t="s">
        <v>1250</v>
      </c>
      <c r="F1397" s="2" t="s">
        <v>1342</v>
      </c>
      <c r="G1397" s="2" t="str">
        <f>"7-15/NOS-70-A/15"</f>
        <v>7-15/NOS-70-A/15</v>
      </c>
      <c r="H1397" s="2" t="str">
        <f t="shared" si="32"/>
        <v>Ugovor - narudžbenica (periodični predmet)</v>
      </c>
      <c r="I1397" s="2" t="s">
        <v>19</v>
      </c>
      <c r="J1397" s="3" t="str">
        <f>"9.258,50"</f>
        <v>9.258,50</v>
      </c>
      <c r="K1397" s="2" t="s">
        <v>1167</v>
      </c>
      <c r="L1397" s="2" t="s">
        <v>1386</v>
      </c>
      <c r="M1397" s="2" t="s">
        <v>508</v>
      </c>
      <c r="N1397" s="2" t="str">
        <f>"02.12.2015"</f>
        <v>02.12.2015</v>
      </c>
      <c r="O1397" s="3" t="str">
        <f>"9.258,50"</f>
        <v>9.258,50</v>
      </c>
      <c r="P1397" s="4"/>
    </row>
    <row r="1398" spans="2:16" ht="63" x14ac:dyDescent="0.25">
      <c r="B1398" s="2">
        <v>1165</v>
      </c>
      <c r="C1398" s="2" t="str">
        <f>"5-15/NOS-75-C/15"</f>
        <v>5-15/NOS-75-C/15</v>
      </c>
      <c r="D1398" s="2" t="s">
        <v>85</v>
      </c>
      <c r="E1398" s="2" t="s">
        <v>1250</v>
      </c>
      <c r="F1398" s="2" t="s">
        <v>1337</v>
      </c>
      <c r="G1398" s="2" t="str">
        <f>"5-15/NOS-75-C/15"</f>
        <v>5-15/NOS-75-C/15</v>
      </c>
      <c r="H1398" s="2" t="str">
        <f t="shared" si="32"/>
        <v>Ugovor - narudžbenica (periodični predmet)</v>
      </c>
      <c r="I1398" s="2" t="s">
        <v>19</v>
      </c>
      <c r="J1398" s="3" t="str">
        <f>"2.720,00"</f>
        <v>2.720,00</v>
      </c>
      <c r="K1398" s="2" t="s">
        <v>1167</v>
      </c>
      <c r="L1398" s="2" t="s">
        <v>1386</v>
      </c>
      <c r="M1398" s="2" t="s">
        <v>612</v>
      </c>
      <c r="N1398" s="2" t="str">
        <f>"04.12.2015"</f>
        <v>04.12.2015</v>
      </c>
      <c r="O1398" s="3" t="str">
        <f>"2.720,00"</f>
        <v>2.720,00</v>
      </c>
      <c r="P1398" s="4"/>
    </row>
    <row r="1399" spans="2:16" ht="63" x14ac:dyDescent="0.25">
      <c r="B1399" s="2">
        <v>1166</v>
      </c>
      <c r="C1399" s="2" t="str">
        <f>"5-15/NOS-75-B/15"</f>
        <v>5-15/NOS-75-B/15</v>
      </c>
      <c r="D1399" s="2" t="s">
        <v>28</v>
      </c>
      <c r="E1399" s="2" t="s">
        <v>1250</v>
      </c>
      <c r="F1399" s="2" t="s">
        <v>1337</v>
      </c>
      <c r="G1399" s="2" t="str">
        <f>"5-15/NOS-75-B/15"</f>
        <v>5-15/NOS-75-B/15</v>
      </c>
      <c r="H1399" s="2" t="str">
        <f t="shared" si="32"/>
        <v>Ugovor - narudžbenica (periodični predmet)</v>
      </c>
      <c r="I1399" s="2" t="s">
        <v>19</v>
      </c>
      <c r="J1399" s="3" t="str">
        <f>"83.750,00"</f>
        <v>83.750,00</v>
      </c>
      <c r="K1399" s="2" t="s">
        <v>1167</v>
      </c>
      <c r="L1399" s="2" t="s">
        <v>1386</v>
      </c>
      <c r="M1399" s="2" t="s">
        <v>612</v>
      </c>
      <c r="N1399" s="2" t="str">
        <f>"04.12.2015"</f>
        <v>04.12.2015</v>
      </c>
      <c r="O1399" s="3" t="str">
        <f>"83.750,00"</f>
        <v>83.750,00</v>
      </c>
      <c r="P1399" s="4"/>
    </row>
    <row r="1400" spans="2:16" ht="63" x14ac:dyDescent="0.25">
      <c r="B1400" s="2">
        <v>1167</v>
      </c>
      <c r="C1400" s="2" t="str">
        <f>"5-15/NOS-75-G/15"</f>
        <v>5-15/NOS-75-G/15</v>
      </c>
      <c r="D1400" s="2" t="s">
        <v>85</v>
      </c>
      <c r="E1400" s="2" t="s">
        <v>1250</v>
      </c>
      <c r="F1400" s="2" t="s">
        <v>1337</v>
      </c>
      <c r="G1400" s="2" t="str">
        <f>"5-15/NOS-75-G/15"</f>
        <v>5-15/NOS-75-G/15</v>
      </c>
      <c r="H1400" s="2" t="str">
        <f t="shared" si="32"/>
        <v>Ugovor - narudžbenica (periodični predmet)</v>
      </c>
      <c r="I1400" s="2" t="s">
        <v>19</v>
      </c>
      <c r="J1400" s="3" t="str">
        <f>"1.600,00"</f>
        <v>1.600,00</v>
      </c>
      <c r="K1400" s="2" t="s">
        <v>1167</v>
      </c>
      <c r="L1400" s="2" t="s">
        <v>1386</v>
      </c>
      <c r="M1400" s="2" t="s">
        <v>613</v>
      </c>
      <c r="N1400" s="2" t="str">
        <f>"13.01.2016"</f>
        <v>13.01.2016</v>
      </c>
      <c r="O1400" s="3" t="str">
        <f>"1.600,00"</f>
        <v>1.600,00</v>
      </c>
      <c r="P1400" s="4"/>
    </row>
    <row r="1401" spans="2:16" ht="63" x14ac:dyDescent="0.25">
      <c r="B1401" s="2">
        <v>1168</v>
      </c>
      <c r="C1401" s="2" t="str">
        <f>"8-15/NOS-60/15"</f>
        <v>8-15/NOS-60/15</v>
      </c>
      <c r="D1401" s="2" t="s">
        <v>16</v>
      </c>
      <c r="E1401" s="2" t="s">
        <v>1250</v>
      </c>
      <c r="F1401" s="2" t="s">
        <v>157</v>
      </c>
      <c r="G1401" s="2" t="str">
        <f>"8-15/NOS-60/15"</f>
        <v>8-15/NOS-60/15</v>
      </c>
      <c r="H1401" s="2" t="str">
        <f t="shared" si="32"/>
        <v>Ugovor - narudžbenica (periodični predmet)</v>
      </c>
      <c r="I1401" s="2" t="s">
        <v>19</v>
      </c>
      <c r="J1401" s="3" t="str">
        <f>"2.309,00"</f>
        <v>2.309,00</v>
      </c>
      <c r="K1401" s="2" t="s">
        <v>1167</v>
      </c>
      <c r="L1401" s="2" t="s">
        <v>1386</v>
      </c>
      <c r="M1401" s="2" t="s">
        <v>160</v>
      </c>
      <c r="N1401" s="2" t="str">
        <f>"24.12.2015"</f>
        <v>24.12.2015</v>
      </c>
      <c r="O1401" s="3" t="str">
        <f>"2.309,00"</f>
        <v>2.309,00</v>
      </c>
      <c r="P1401" s="4"/>
    </row>
    <row r="1402" spans="2:16" ht="63" x14ac:dyDescent="0.25">
      <c r="B1402" s="2">
        <v>1169</v>
      </c>
      <c r="C1402" s="2" t="str">
        <f>"7-15/NOS-75-F/15"</f>
        <v>7-15/NOS-75-F/15</v>
      </c>
      <c r="D1402" s="2" t="s">
        <v>28</v>
      </c>
      <c r="E1402" s="2" t="s">
        <v>1250</v>
      </c>
      <c r="F1402" s="2" t="s">
        <v>1337</v>
      </c>
      <c r="G1402" s="2" t="str">
        <f>"7-15/NOS-75-F/15"</f>
        <v>7-15/NOS-75-F/15</v>
      </c>
      <c r="H1402" s="2" t="str">
        <f t="shared" si="32"/>
        <v>Ugovor - narudžbenica (periodični predmet)</v>
      </c>
      <c r="I1402" s="2" t="s">
        <v>19</v>
      </c>
      <c r="J1402" s="3" t="str">
        <f>"95.444,00"</f>
        <v>95.444,00</v>
      </c>
      <c r="K1402" s="2" t="s">
        <v>1167</v>
      </c>
      <c r="L1402" s="2" t="s">
        <v>1386</v>
      </c>
      <c r="M1402" s="2" t="s">
        <v>218</v>
      </c>
      <c r="N1402" s="2" t="str">
        <f>"13.01.2016"</f>
        <v>13.01.2016</v>
      </c>
      <c r="O1402" s="3" t="str">
        <f>"68.694,00"</f>
        <v>68.694,00</v>
      </c>
      <c r="P1402" s="4"/>
    </row>
    <row r="1403" spans="2:16" ht="63" x14ac:dyDescent="0.25">
      <c r="B1403" s="2">
        <v>1170</v>
      </c>
      <c r="C1403" s="2" t="str">
        <f>"9-15/NOS-75-A/15"</f>
        <v>9-15/NOS-75-A/15</v>
      </c>
      <c r="D1403" s="2" t="s">
        <v>16</v>
      </c>
      <c r="E1403" s="2" t="s">
        <v>1250</v>
      </c>
      <c r="F1403" s="2" t="s">
        <v>1337</v>
      </c>
      <c r="G1403" s="2" t="str">
        <f>"9-15/NOS-75-A/15"</f>
        <v>9-15/NOS-75-A/15</v>
      </c>
      <c r="H1403" s="2" t="str">
        <f t="shared" si="32"/>
        <v>Ugovor - narudžbenica (periodični predmet)</v>
      </c>
      <c r="I1403" s="2" t="s">
        <v>19</v>
      </c>
      <c r="J1403" s="3" t="str">
        <f>"628.465,00"</f>
        <v>628.465,00</v>
      </c>
      <c r="K1403" s="2" t="s">
        <v>1167</v>
      </c>
      <c r="L1403" s="2" t="s">
        <v>1386</v>
      </c>
      <c r="M1403" s="2" t="s">
        <v>218</v>
      </c>
      <c r="N1403" s="2" t="str">
        <f>"11.01.2016"</f>
        <v>11.01.2016</v>
      </c>
      <c r="O1403" s="3" t="str">
        <f>"485.065,00"</f>
        <v>485.065,00</v>
      </c>
      <c r="P1403" s="4"/>
    </row>
    <row r="1404" spans="2:16" ht="63" x14ac:dyDescent="0.25">
      <c r="B1404" s="2">
        <v>1171</v>
      </c>
      <c r="C1404" s="2" t="str">
        <f>"8-15/NOS-90/15"</f>
        <v>8-15/NOS-90/15</v>
      </c>
      <c r="D1404" s="2" t="s">
        <v>16</v>
      </c>
      <c r="E1404" s="2" t="s">
        <v>1250</v>
      </c>
      <c r="F1404" s="2" t="s">
        <v>177</v>
      </c>
      <c r="G1404" s="2" t="str">
        <f>"8-15/NOS-90/15"</f>
        <v>8-15/NOS-90/15</v>
      </c>
      <c r="H1404" s="2" t="str">
        <f t="shared" si="32"/>
        <v>Ugovor - narudžbenica (periodični predmet)</v>
      </c>
      <c r="I1404" s="2" t="s">
        <v>19</v>
      </c>
      <c r="J1404" s="3" t="str">
        <f>"4.900,00"</f>
        <v>4.900,00</v>
      </c>
      <c r="K1404" s="2" t="s">
        <v>1167</v>
      </c>
      <c r="L1404" s="2" t="s">
        <v>1386</v>
      </c>
      <c r="M1404" s="2" t="s">
        <v>44</v>
      </c>
      <c r="N1404" s="2" t="str">
        <f>"30.11.2015"</f>
        <v>30.11.2015</v>
      </c>
      <c r="O1404" s="3" t="str">
        <f>"4.900,00"</f>
        <v>4.900,00</v>
      </c>
      <c r="P1404" s="4"/>
    </row>
    <row r="1405" spans="2:16" s="19" customFormat="1" ht="63" x14ac:dyDescent="0.25">
      <c r="B1405" s="16">
        <v>1172</v>
      </c>
      <c r="C1405" s="16" t="str">
        <f>"19-15/NOS-205/13"</f>
        <v>19-15/NOS-205/13</v>
      </c>
      <c r="D1405" s="16" t="s">
        <v>16</v>
      </c>
      <c r="E1405" s="16" t="s">
        <v>1250</v>
      </c>
      <c r="F1405" s="16" t="s">
        <v>1290</v>
      </c>
      <c r="G1405" s="16" t="str">
        <f>"19-15/NOS-205/13"</f>
        <v>19-15/NOS-205/13</v>
      </c>
      <c r="H1405" s="16" t="str">
        <f t="shared" si="32"/>
        <v>Ugovor - narudžbenica (periodični predmet)</v>
      </c>
      <c r="I1405" s="16" t="s">
        <v>19</v>
      </c>
      <c r="J1405" s="17" t="str">
        <f>"9.100,00"</f>
        <v>9.100,00</v>
      </c>
      <c r="K1405" s="16" t="s">
        <v>1167</v>
      </c>
      <c r="L1405" s="16" t="s">
        <v>1386</v>
      </c>
      <c r="M1405" s="16" t="s">
        <v>84</v>
      </c>
      <c r="N1405" s="16" t="str">
        <f>"16.11.2015"</f>
        <v>16.11.2015</v>
      </c>
      <c r="O1405" s="17" t="str">
        <f>"9.750,00"</f>
        <v>9.750,00</v>
      </c>
      <c r="P1405" s="16" t="s">
        <v>699</v>
      </c>
    </row>
    <row r="1406" spans="2:16" s="19" customFormat="1" ht="63" x14ac:dyDescent="0.25">
      <c r="B1406" s="16">
        <v>1173</v>
      </c>
      <c r="C1406" s="16" t="str">
        <f>"10-15/NOS-70/14"</f>
        <v>10-15/NOS-70/14</v>
      </c>
      <c r="D1406" s="16" t="s">
        <v>16</v>
      </c>
      <c r="E1406" s="16" t="s">
        <v>1250</v>
      </c>
      <c r="F1406" s="16" t="s">
        <v>1287</v>
      </c>
      <c r="G1406" s="16" t="str">
        <f>"10-15/NOS-70/14"</f>
        <v>10-15/NOS-70/14</v>
      </c>
      <c r="H1406" s="16" t="str">
        <f t="shared" si="32"/>
        <v>Ugovor - narudžbenica (periodični predmet)</v>
      </c>
      <c r="I1406" s="16" t="s">
        <v>19</v>
      </c>
      <c r="J1406" s="17" t="str">
        <f>"27.238,00"</f>
        <v>27.238,00</v>
      </c>
      <c r="K1406" s="16" t="s">
        <v>1089</v>
      </c>
      <c r="L1406" s="16" t="s">
        <v>1386</v>
      </c>
      <c r="M1406" s="16" t="s">
        <v>1288</v>
      </c>
      <c r="N1406" s="16" t="str">
        <f>"02.12.2015"</f>
        <v>02.12.2015</v>
      </c>
      <c r="O1406" s="17" t="str">
        <f>"28.368,00"</f>
        <v>28.368,00</v>
      </c>
      <c r="P1406" s="16" t="s">
        <v>699</v>
      </c>
    </row>
    <row r="1407" spans="2:16" ht="63" x14ac:dyDescent="0.25">
      <c r="B1407" s="2">
        <v>1174</v>
      </c>
      <c r="C1407" s="2" t="str">
        <f>"11-15/NOS-203/13"</f>
        <v>11-15/NOS-203/13</v>
      </c>
      <c r="D1407" s="2" t="s">
        <v>16</v>
      </c>
      <c r="E1407" s="2" t="s">
        <v>1250</v>
      </c>
      <c r="F1407" s="2" t="s">
        <v>1303</v>
      </c>
      <c r="G1407" s="2" t="str">
        <f>"11-15/NOS-203/13"</f>
        <v>11-15/NOS-203/13</v>
      </c>
      <c r="H1407" s="2" t="str">
        <f t="shared" si="32"/>
        <v>Ugovor - narudžbenica (periodični predmet)</v>
      </c>
      <c r="I1407" s="2" t="s">
        <v>19</v>
      </c>
      <c r="J1407" s="3" t="str">
        <f>"6.700,51"</f>
        <v>6.700,51</v>
      </c>
      <c r="K1407" s="2" t="s">
        <v>1089</v>
      </c>
      <c r="L1407" s="2" t="s">
        <v>1388</v>
      </c>
      <c r="M1407" s="2" t="s">
        <v>1305</v>
      </c>
      <c r="N1407" s="2" t="str">
        <f>"10.11.2015"</f>
        <v>10.11.2015</v>
      </c>
      <c r="O1407" s="3" t="str">
        <f>"6.700,51"</f>
        <v>6.700,51</v>
      </c>
      <c r="P1407" s="4"/>
    </row>
    <row r="1408" spans="2:16" ht="63" x14ac:dyDescent="0.25">
      <c r="B1408" s="2">
        <v>1175</v>
      </c>
      <c r="C1408" s="2" t="str">
        <f>"13-15/NOS-108/14"</f>
        <v>13-15/NOS-108/14</v>
      </c>
      <c r="D1408" s="2" t="s">
        <v>16</v>
      </c>
      <c r="E1408" s="2" t="s">
        <v>1250</v>
      </c>
      <c r="F1408" s="2" t="s">
        <v>41</v>
      </c>
      <c r="G1408" s="2" t="str">
        <f>"13-15/NOS-108/14"</f>
        <v>13-15/NOS-108/14</v>
      </c>
      <c r="H1408" s="2" t="str">
        <f t="shared" si="32"/>
        <v>Ugovor - narudžbenica (periodični predmet)</v>
      </c>
      <c r="I1408" s="2" t="s">
        <v>19</v>
      </c>
      <c r="J1408" s="3" t="str">
        <f>"14.191,50"</f>
        <v>14.191,50</v>
      </c>
      <c r="K1408" s="2" t="s">
        <v>1089</v>
      </c>
      <c r="L1408" s="2" t="s">
        <v>1386</v>
      </c>
      <c r="M1408" s="2" t="s">
        <v>45</v>
      </c>
      <c r="N1408" s="2" t="str">
        <f>"20.11.2015"</f>
        <v>20.11.2015</v>
      </c>
      <c r="O1408" s="3" t="str">
        <f>"14.191,50"</f>
        <v>14.191,50</v>
      </c>
      <c r="P1408" s="4"/>
    </row>
    <row r="1409" spans="2:16" ht="63" x14ac:dyDescent="0.25">
      <c r="B1409" s="2">
        <v>1176</v>
      </c>
      <c r="C1409" s="2" t="str">
        <f>"7-15/NOS-54/15"</f>
        <v>7-15/NOS-54/15</v>
      </c>
      <c r="D1409" s="2" t="s">
        <v>16</v>
      </c>
      <c r="E1409" s="2" t="s">
        <v>1250</v>
      </c>
      <c r="F1409" s="2" t="s">
        <v>255</v>
      </c>
      <c r="G1409" s="2" t="str">
        <f>"7-15/NOS-54/15"</f>
        <v>7-15/NOS-54/15</v>
      </c>
      <c r="H1409" s="2" t="str">
        <f t="shared" si="32"/>
        <v>Ugovor - narudžbenica (periodični predmet)</v>
      </c>
      <c r="I1409" s="2" t="s">
        <v>19</v>
      </c>
      <c r="J1409" s="3" t="str">
        <f>"6.390,00"</f>
        <v>6.390,00</v>
      </c>
      <c r="K1409" s="2" t="s">
        <v>1089</v>
      </c>
      <c r="L1409" s="2" t="s">
        <v>1386</v>
      </c>
      <c r="M1409" s="2" t="s">
        <v>84</v>
      </c>
      <c r="N1409" s="2" t="str">
        <f>"30.11.2015"</f>
        <v>30.11.2015</v>
      </c>
      <c r="O1409" s="3" t="str">
        <f>"6.390,00"</f>
        <v>6.390,00</v>
      </c>
      <c r="P1409" s="4"/>
    </row>
    <row r="1410" spans="2:16" ht="63" x14ac:dyDescent="0.25">
      <c r="B1410" s="2">
        <v>1177</v>
      </c>
      <c r="C1410" s="2" t="str">
        <f>"7-15/NOS-60/15"</f>
        <v>7-15/NOS-60/15</v>
      </c>
      <c r="D1410" s="2" t="s">
        <v>28</v>
      </c>
      <c r="E1410" s="2" t="s">
        <v>1250</v>
      </c>
      <c r="F1410" s="2" t="s">
        <v>157</v>
      </c>
      <c r="G1410" s="2" t="str">
        <f>"7-15/NOS-60/15"</f>
        <v>7-15/NOS-60/15</v>
      </c>
      <c r="H1410" s="2" t="str">
        <f t="shared" si="32"/>
        <v>Ugovor - narudžbenica (periodični predmet)</v>
      </c>
      <c r="I1410" s="2" t="s">
        <v>19</v>
      </c>
      <c r="J1410" s="3" t="str">
        <f>"4.600,83"</f>
        <v>4.600,83</v>
      </c>
      <c r="K1410" s="2" t="s">
        <v>1089</v>
      </c>
      <c r="L1410" s="2" t="s">
        <v>1386</v>
      </c>
      <c r="M1410" s="2" t="s">
        <v>84</v>
      </c>
      <c r="N1410" s="2" t="str">
        <f>"28.12.2015"</f>
        <v>28.12.2015</v>
      </c>
      <c r="O1410" s="3" t="str">
        <f>"3.912,63"</f>
        <v>3.912,63</v>
      </c>
      <c r="P1410" s="4"/>
    </row>
    <row r="1411" spans="2:16" ht="63" x14ac:dyDescent="0.25">
      <c r="B1411" s="2">
        <v>1178</v>
      </c>
      <c r="C1411" s="2" t="str">
        <f>"7-15/NOS-69/15"</f>
        <v>7-15/NOS-69/15</v>
      </c>
      <c r="D1411" s="2" t="s">
        <v>16</v>
      </c>
      <c r="E1411" s="2" t="s">
        <v>1250</v>
      </c>
      <c r="F1411" s="2" t="s">
        <v>268</v>
      </c>
      <c r="G1411" s="2" t="str">
        <f>"7-15/NOS-69/15"</f>
        <v>7-15/NOS-69/15</v>
      </c>
      <c r="H1411" s="2" t="str">
        <f t="shared" si="32"/>
        <v>Ugovor - narudžbenica (periodični predmet)</v>
      </c>
      <c r="I1411" s="2" t="s">
        <v>19</v>
      </c>
      <c r="J1411" s="3" t="str">
        <f>"3.912,72"</f>
        <v>3.912,72</v>
      </c>
      <c r="K1411" s="2" t="s">
        <v>1089</v>
      </c>
      <c r="L1411" s="2" t="s">
        <v>1386</v>
      </c>
      <c r="M1411" s="2" t="s">
        <v>270</v>
      </c>
      <c r="N1411" s="2" t="str">
        <f>"25.11.2015"</f>
        <v>25.11.2015</v>
      </c>
      <c r="O1411" s="3" t="str">
        <f>"3.707,22"</f>
        <v>3.707,22</v>
      </c>
      <c r="P1411" s="4"/>
    </row>
    <row r="1412" spans="2:16" ht="63" x14ac:dyDescent="0.25">
      <c r="B1412" s="2">
        <v>1179</v>
      </c>
      <c r="C1412" s="2" t="str">
        <f>"3-15/NOS-95/15"</f>
        <v>3-15/NOS-95/15</v>
      </c>
      <c r="D1412" s="2" t="s">
        <v>16</v>
      </c>
      <c r="E1412" s="2" t="s">
        <v>1250</v>
      </c>
      <c r="F1412" s="2" t="s">
        <v>510</v>
      </c>
      <c r="G1412" s="2" t="str">
        <f>"3-15/NOS-95/15"</f>
        <v>3-15/NOS-95/15</v>
      </c>
      <c r="H1412" s="2" t="str">
        <f t="shared" si="32"/>
        <v>Ugovor - narudžbenica (periodični predmet)</v>
      </c>
      <c r="I1412" s="2" t="s">
        <v>19</v>
      </c>
      <c r="J1412" s="3" t="str">
        <f>"948,00"</f>
        <v>948,00</v>
      </c>
      <c r="K1412" s="2" t="s">
        <v>1089</v>
      </c>
      <c r="L1412" s="2" t="s">
        <v>1386</v>
      </c>
      <c r="M1412" s="2" t="s">
        <v>73</v>
      </c>
      <c r="N1412" s="2" t="str">
        <f>"25.11.2015"</f>
        <v>25.11.2015</v>
      </c>
      <c r="O1412" s="3" t="str">
        <f>"948,00"</f>
        <v>948,00</v>
      </c>
      <c r="P1412" s="4"/>
    </row>
    <row r="1413" spans="2:16" ht="63" x14ac:dyDescent="0.25">
      <c r="B1413" s="2">
        <v>1180</v>
      </c>
      <c r="C1413" s="2" t="str">
        <f>"6-15/NOS-100-A/15"</f>
        <v>6-15/NOS-100-A/15</v>
      </c>
      <c r="D1413" s="2" t="s">
        <v>28</v>
      </c>
      <c r="E1413" s="2" t="s">
        <v>1250</v>
      </c>
      <c r="F1413" s="2" t="s">
        <v>1255</v>
      </c>
      <c r="G1413" s="2" t="str">
        <f>"6-15/NOS-100-A/15"</f>
        <v>6-15/NOS-100-A/15</v>
      </c>
      <c r="H1413" s="2" t="str">
        <f t="shared" ref="H1413:H1432" si="33">"Ugovor - narudžbenica (periodični predmet)"</f>
        <v>Ugovor - narudžbenica (periodični predmet)</v>
      </c>
      <c r="I1413" s="2" t="s">
        <v>19</v>
      </c>
      <c r="J1413" s="3" t="str">
        <f>"10.202,96"</f>
        <v>10.202,96</v>
      </c>
      <c r="K1413" s="2" t="s">
        <v>1089</v>
      </c>
      <c r="L1413" s="2" t="s">
        <v>1386</v>
      </c>
      <c r="M1413" s="2" t="s">
        <v>269</v>
      </c>
      <c r="N1413" s="2" t="str">
        <f>"04.12.2015"</f>
        <v>04.12.2015</v>
      </c>
      <c r="O1413" s="3" t="str">
        <f>"7.102,96"</f>
        <v>7.102,96</v>
      </c>
      <c r="P1413" s="4"/>
    </row>
    <row r="1414" spans="2:16" ht="63" x14ac:dyDescent="0.25">
      <c r="B1414" s="2">
        <v>1181</v>
      </c>
      <c r="C1414" s="2" t="str">
        <f>"21-15/NOS-66/14"</f>
        <v>21-15/NOS-66/14</v>
      </c>
      <c r="D1414" s="2" t="s">
        <v>16</v>
      </c>
      <c r="E1414" s="2" t="s">
        <v>1250</v>
      </c>
      <c r="F1414" s="2" t="s">
        <v>1368</v>
      </c>
      <c r="G1414" s="2" t="str">
        <f>"21-15/NOS-66/14"</f>
        <v>21-15/NOS-66/14</v>
      </c>
      <c r="H1414" s="2" t="str">
        <f t="shared" si="33"/>
        <v>Ugovor - narudžbenica (periodični predmet)</v>
      </c>
      <c r="I1414" s="2" t="s">
        <v>19</v>
      </c>
      <c r="J1414" s="3" t="str">
        <f>"21.600,00"</f>
        <v>21.600,00</v>
      </c>
      <c r="K1414" s="2" t="s">
        <v>1174</v>
      </c>
      <c r="L1414" s="2" t="s">
        <v>1381</v>
      </c>
      <c r="M1414" s="2" t="s">
        <v>1369</v>
      </c>
      <c r="N1414" s="2" t="str">
        <f>"06.11.2015"</f>
        <v>06.11.2015</v>
      </c>
      <c r="O1414" s="3" t="str">
        <f>"21.600,00"</f>
        <v>21.600,00</v>
      </c>
      <c r="P1414" s="4"/>
    </row>
    <row r="1415" spans="2:16" ht="63" x14ac:dyDescent="0.25">
      <c r="B1415" s="2">
        <v>1182</v>
      </c>
      <c r="C1415" s="2" t="str">
        <f>"13-15/NOS-67/14"</f>
        <v>13-15/NOS-67/14</v>
      </c>
      <c r="D1415" s="2" t="s">
        <v>16</v>
      </c>
      <c r="E1415" s="2" t="s">
        <v>1250</v>
      </c>
      <c r="F1415" s="2" t="s">
        <v>1314</v>
      </c>
      <c r="G1415" s="2" t="str">
        <f>"13-15/NOS-67/14"</f>
        <v>13-15/NOS-67/14</v>
      </c>
      <c r="H1415" s="2" t="str">
        <f t="shared" si="33"/>
        <v>Ugovor - narudžbenica (periodični predmet)</v>
      </c>
      <c r="I1415" s="2" t="s">
        <v>19</v>
      </c>
      <c r="J1415" s="3" t="str">
        <f>"1.791,00"</f>
        <v>1.791,00</v>
      </c>
      <c r="K1415" s="2" t="s">
        <v>1174</v>
      </c>
      <c r="L1415" s="2" t="s">
        <v>1388</v>
      </c>
      <c r="M1415" s="2" t="s">
        <v>44</v>
      </c>
      <c r="N1415" s="2" t="str">
        <f>"01.12.2015"</f>
        <v>01.12.2015</v>
      </c>
      <c r="O1415" s="3" t="str">
        <f>"1.791,00"</f>
        <v>1.791,00</v>
      </c>
      <c r="P1415" s="4"/>
    </row>
    <row r="1416" spans="2:16" ht="63" x14ac:dyDescent="0.25">
      <c r="B1416" s="2">
        <v>1183</v>
      </c>
      <c r="C1416" s="2" t="str">
        <f>"8-15/NOS-69/15"</f>
        <v>8-15/NOS-69/15</v>
      </c>
      <c r="D1416" s="2" t="s">
        <v>16</v>
      </c>
      <c r="E1416" s="2" t="s">
        <v>1250</v>
      </c>
      <c r="F1416" s="2" t="s">
        <v>268</v>
      </c>
      <c r="G1416" s="2" t="str">
        <f>"8-15/NOS-69/15"</f>
        <v>8-15/NOS-69/15</v>
      </c>
      <c r="H1416" s="2" t="str">
        <f t="shared" si="33"/>
        <v>Ugovor - narudžbenica (periodični predmet)</v>
      </c>
      <c r="I1416" s="2" t="s">
        <v>19</v>
      </c>
      <c r="J1416" s="3" t="str">
        <f>"11.907,40"</f>
        <v>11.907,40</v>
      </c>
      <c r="K1416" s="2" t="s">
        <v>1174</v>
      </c>
      <c r="L1416" s="2" t="s">
        <v>1388</v>
      </c>
      <c r="M1416" s="2" t="s">
        <v>269</v>
      </c>
      <c r="N1416" s="2" t="str">
        <f>"25.11.2015"</f>
        <v>25.11.2015</v>
      </c>
      <c r="O1416" s="3" t="str">
        <f>"11.907,40"</f>
        <v>11.907,40</v>
      </c>
      <c r="P1416" s="4"/>
    </row>
    <row r="1417" spans="2:16" ht="63" x14ac:dyDescent="0.25">
      <c r="B1417" s="2">
        <v>1184</v>
      </c>
      <c r="C1417" s="2" t="str">
        <f>"4-15/NOS-71/15"</f>
        <v>4-15/NOS-71/15</v>
      </c>
      <c r="D1417" s="2" t="s">
        <v>16</v>
      </c>
      <c r="E1417" s="2" t="s">
        <v>1250</v>
      </c>
      <c r="F1417" s="2" t="s">
        <v>575</v>
      </c>
      <c r="G1417" s="2" t="str">
        <f>"4-15/NOS-71/15"</f>
        <v>4-15/NOS-71/15</v>
      </c>
      <c r="H1417" s="2" t="str">
        <f t="shared" si="33"/>
        <v>Ugovor - narudžbenica (periodični predmet)</v>
      </c>
      <c r="I1417" s="2" t="s">
        <v>19</v>
      </c>
      <c r="J1417" s="3" t="str">
        <f>"2.864,25"</f>
        <v>2.864,25</v>
      </c>
      <c r="K1417" s="2" t="s">
        <v>1174</v>
      </c>
      <c r="L1417" s="2" t="s">
        <v>1386</v>
      </c>
      <c r="M1417" s="2" t="s">
        <v>576</v>
      </c>
      <c r="N1417" s="2" t="str">
        <f>"30.11.2015"</f>
        <v>30.11.2015</v>
      </c>
      <c r="O1417" s="3" t="str">
        <f>"2.864,25"</f>
        <v>2.864,25</v>
      </c>
      <c r="P1417" s="4"/>
    </row>
    <row r="1418" spans="2:16" ht="63" x14ac:dyDescent="0.25">
      <c r="B1418" s="2">
        <v>1185</v>
      </c>
      <c r="C1418" s="2" t="str">
        <f>"4-15/NOS-93/15"</f>
        <v>4-15/NOS-93/15</v>
      </c>
      <c r="D1418" s="2" t="s">
        <v>16</v>
      </c>
      <c r="E1418" s="2" t="s">
        <v>1250</v>
      </c>
      <c r="F1418" s="2" t="s">
        <v>543</v>
      </c>
      <c r="G1418" s="2" t="str">
        <f>"4-15/NOS-93/15"</f>
        <v>4-15/NOS-93/15</v>
      </c>
      <c r="H1418" s="2" t="str">
        <f t="shared" si="33"/>
        <v>Ugovor - narudžbenica (periodični predmet)</v>
      </c>
      <c r="I1418" s="2" t="s">
        <v>19</v>
      </c>
      <c r="J1418" s="3" t="str">
        <f>"8.214,35"</f>
        <v>8.214,35</v>
      </c>
      <c r="K1418" s="2" t="s">
        <v>1174</v>
      </c>
      <c r="L1418" s="2" t="s">
        <v>1386</v>
      </c>
      <c r="M1418" s="2" t="s">
        <v>44</v>
      </c>
      <c r="N1418" s="2" t="str">
        <f>"29.12.2015"</f>
        <v>29.12.2015</v>
      </c>
      <c r="O1418" s="3" t="str">
        <f>"6.252,45"</f>
        <v>6.252,45</v>
      </c>
      <c r="P1418" s="4"/>
    </row>
    <row r="1419" spans="2:16" ht="63" x14ac:dyDescent="0.25">
      <c r="B1419" s="2">
        <v>1186</v>
      </c>
      <c r="C1419" s="2" t="str">
        <f>"10-15/NOS-99/14"</f>
        <v>10-15/NOS-99/14</v>
      </c>
      <c r="D1419" s="2" t="s">
        <v>16</v>
      </c>
      <c r="E1419" s="2" t="s">
        <v>1250</v>
      </c>
      <c r="F1419" s="2" t="s">
        <v>31</v>
      </c>
      <c r="G1419" s="2" t="str">
        <f>"10-15/NOS-99/14"</f>
        <v>10-15/NOS-99/14</v>
      </c>
      <c r="H1419" s="2" t="str">
        <f t="shared" si="33"/>
        <v>Ugovor - narudžbenica (periodični predmet)</v>
      </c>
      <c r="I1419" s="2" t="s">
        <v>19</v>
      </c>
      <c r="J1419" s="3" t="str">
        <f>"1.799,75"</f>
        <v>1.799,75</v>
      </c>
      <c r="K1419" s="2" t="s">
        <v>1174</v>
      </c>
      <c r="L1419" s="2" t="s">
        <v>1386</v>
      </c>
      <c r="M1419" s="2" t="s">
        <v>34</v>
      </c>
      <c r="N1419" s="2" t="str">
        <f>"02.12.2015"</f>
        <v>02.12.2015</v>
      </c>
      <c r="O1419" s="3" t="str">
        <f>"1.799,75"</f>
        <v>1.799,75</v>
      </c>
      <c r="P1419" s="4"/>
    </row>
    <row r="1420" spans="2:16" ht="63" x14ac:dyDescent="0.25">
      <c r="B1420" s="2">
        <v>1187</v>
      </c>
      <c r="C1420" s="2" t="str">
        <f>"12-15/NOS-92/14"</f>
        <v>12-15/NOS-92/14</v>
      </c>
      <c r="D1420" s="2" t="s">
        <v>16</v>
      </c>
      <c r="E1420" s="2" t="s">
        <v>1250</v>
      </c>
      <c r="F1420" s="2" t="s">
        <v>1389</v>
      </c>
      <c r="G1420" s="2" t="str">
        <f>"12-15/NOS-92/14"</f>
        <v>12-15/NOS-92/14</v>
      </c>
      <c r="H1420" s="2" t="str">
        <f t="shared" si="33"/>
        <v>Ugovor - narudžbenica (periodični predmet)</v>
      </c>
      <c r="I1420" s="2" t="s">
        <v>19</v>
      </c>
      <c r="J1420" s="3" t="str">
        <f>"372.490,00"</f>
        <v>372.490,00</v>
      </c>
      <c r="K1420" s="2" t="s">
        <v>1174</v>
      </c>
      <c r="L1420" s="2" t="s">
        <v>1386</v>
      </c>
      <c r="M1420" s="2" t="s">
        <v>859</v>
      </c>
      <c r="N1420" s="2" t="str">
        <f>"13.11.2015"</f>
        <v>13.11.2015</v>
      </c>
      <c r="O1420" s="3" t="str">
        <f>"372.490,00"</f>
        <v>372.490,00</v>
      </c>
      <c r="P1420" s="4"/>
    </row>
    <row r="1421" spans="2:16" ht="63" x14ac:dyDescent="0.25">
      <c r="B1421" s="2">
        <v>1188</v>
      </c>
      <c r="C1421" s="2" t="str">
        <f>"30-15/NOS-89/14"</f>
        <v>30-15/NOS-89/14</v>
      </c>
      <c r="D1421" s="2" t="s">
        <v>188</v>
      </c>
      <c r="E1421" s="2" t="s">
        <v>1250</v>
      </c>
      <c r="F1421" s="2" t="s">
        <v>1277</v>
      </c>
      <c r="G1421" s="2" t="str">
        <f>"30-15/NOS-89/14"</f>
        <v>30-15/NOS-89/14</v>
      </c>
      <c r="H1421" s="2" t="str">
        <f t="shared" si="33"/>
        <v>Ugovor - narudžbenica (periodični predmet)</v>
      </c>
      <c r="I1421" s="2" t="s">
        <v>19</v>
      </c>
      <c r="J1421" s="3" t="str">
        <f>"12.028,04"</f>
        <v>12.028,04</v>
      </c>
      <c r="K1421" s="2" t="s">
        <v>1390</v>
      </c>
      <c r="L1421" s="2" t="s">
        <v>1386</v>
      </c>
      <c r="M1421" s="2" t="s">
        <v>868</v>
      </c>
      <c r="N1421" s="2" t="str">
        <f>"21.12.2015"</f>
        <v>21.12.2015</v>
      </c>
      <c r="O1421" s="3" t="str">
        <f>"12.028,04"</f>
        <v>12.028,04</v>
      </c>
      <c r="P1421" s="4"/>
    </row>
    <row r="1422" spans="2:16" s="19" customFormat="1" ht="72" customHeight="1" x14ac:dyDescent="0.25">
      <c r="B1422" s="16">
        <v>1189</v>
      </c>
      <c r="C1422" s="16" t="str">
        <f>"13-15/NOS-90/14"</f>
        <v>13-15/NOS-90/14</v>
      </c>
      <c r="D1422" s="16" t="s">
        <v>16</v>
      </c>
      <c r="E1422" s="16" t="s">
        <v>1250</v>
      </c>
      <c r="F1422" s="16" t="s">
        <v>1274</v>
      </c>
      <c r="G1422" s="16" t="str">
        <f>"13-15/NOS-90/14"</f>
        <v>13-15/NOS-90/14</v>
      </c>
      <c r="H1422" s="16" t="str">
        <f t="shared" si="33"/>
        <v>Ugovor - narudžbenica (periodični predmet)</v>
      </c>
      <c r="I1422" s="16" t="s">
        <v>19</v>
      </c>
      <c r="J1422" s="17" t="str">
        <f>"3.570,00"</f>
        <v>3.570,00</v>
      </c>
      <c r="K1422" s="16" t="s">
        <v>1390</v>
      </c>
      <c r="L1422" s="16" t="s">
        <v>1386</v>
      </c>
      <c r="M1422" s="16" t="s">
        <v>419</v>
      </c>
      <c r="N1422" s="16" t="str">
        <f>"05.11.2015"</f>
        <v>05.11.2015</v>
      </c>
      <c r="O1422" s="17" t="str">
        <f>"3.986,50"</f>
        <v>3.986,50</v>
      </c>
      <c r="P1422" s="16" t="s">
        <v>699</v>
      </c>
    </row>
    <row r="1423" spans="2:16" ht="63" x14ac:dyDescent="0.25">
      <c r="B1423" s="2">
        <v>1190</v>
      </c>
      <c r="C1423" s="2" t="str">
        <f>"11-15/NOS-99/14"</f>
        <v>11-15/NOS-99/14</v>
      </c>
      <c r="D1423" s="2" t="s">
        <v>16</v>
      </c>
      <c r="E1423" s="2" t="s">
        <v>1250</v>
      </c>
      <c r="F1423" s="2" t="s">
        <v>31</v>
      </c>
      <c r="G1423" s="2" t="str">
        <f>"11-15/NOS-99/14"</f>
        <v>11-15/NOS-99/14</v>
      </c>
      <c r="H1423" s="2" t="str">
        <f t="shared" si="33"/>
        <v>Ugovor - narudžbenica (periodični predmet)</v>
      </c>
      <c r="I1423" s="2" t="s">
        <v>19</v>
      </c>
      <c r="J1423" s="3" t="str">
        <f>"36.900,00"</f>
        <v>36.900,00</v>
      </c>
      <c r="K1423" s="2" t="s">
        <v>1390</v>
      </c>
      <c r="L1423" s="2" t="s">
        <v>1388</v>
      </c>
      <c r="M1423" s="2" t="s">
        <v>34</v>
      </c>
      <c r="N1423" s="2" t="str">
        <f>"04.12.2015"</f>
        <v>04.12.2015</v>
      </c>
      <c r="O1423" s="3" t="str">
        <f>"36.900,00"</f>
        <v>36.900,00</v>
      </c>
      <c r="P1423" s="4"/>
    </row>
    <row r="1424" spans="2:16" ht="63" x14ac:dyDescent="0.25">
      <c r="B1424" s="2">
        <v>1191</v>
      </c>
      <c r="C1424" s="2" t="str">
        <f>"39-15/NOS-29/12"</f>
        <v>39-15/NOS-29/12</v>
      </c>
      <c r="D1424" s="2" t="s">
        <v>85</v>
      </c>
      <c r="E1424" s="2" t="s">
        <v>1250</v>
      </c>
      <c r="F1424" s="2" t="s">
        <v>1269</v>
      </c>
      <c r="G1424" s="2" t="str">
        <f>"39-15/NOS-29/12"</f>
        <v>39-15/NOS-29/12</v>
      </c>
      <c r="H1424" s="2" t="str">
        <f t="shared" si="33"/>
        <v>Ugovor - narudžbenica (periodični predmet)</v>
      </c>
      <c r="I1424" s="2" t="s">
        <v>19</v>
      </c>
      <c r="J1424" s="3" t="str">
        <f>"87.804,05"</f>
        <v>87.804,05</v>
      </c>
      <c r="K1424" s="2" t="s">
        <v>1390</v>
      </c>
      <c r="L1424" s="2" t="s">
        <v>1198</v>
      </c>
      <c r="M1424" s="2" t="s">
        <v>250</v>
      </c>
      <c r="N1424" s="2" t="str">
        <f>"01.12.2015"</f>
        <v>01.12.2015</v>
      </c>
      <c r="O1424" s="3" t="str">
        <f>"54.531,68"</f>
        <v>54.531,68</v>
      </c>
      <c r="P1424" s="4"/>
    </row>
    <row r="1425" spans="2:16" ht="63" x14ac:dyDescent="0.25">
      <c r="B1425" s="2">
        <v>1192</v>
      </c>
      <c r="C1425" s="2" t="str">
        <f>"13-15/NOS-112/14"</f>
        <v>13-15/NOS-112/14</v>
      </c>
      <c r="D1425" s="2" t="s">
        <v>16</v>
      </c>
      <c r="E1425" s="2" t="s">
        <v>1250</v>
      </c>
      <c r="F1425" s="2" t="s">
        <v>77</v>
      </c>
      <c r="G1425" s="2" t="str">
        <f>"13-15/NOS-112/14"</f>
        <v>13-15/NOS-112/14</v>
      </c>
      <c r="H1425" s="2" t="str">
        <f t="shared" si="33"/>
        <v>Ugovor - narudžbenica (periodični predmet)</v>
      </c>
      <c r="I1425" s="2" t="s">
        <v>19</v>
      </c>
      <c r="J1425" s="3" t="str">
        <f>"2.450,00"</f>
        <v>2.450,00</v>
      </c>
      <c r="K1425" s="2" t="s">
        <v>1390</v>
      </c>
      <c r="L1425" s="2" t="s">
        <v>1386</v>
      </c>
      <c r="M1425" s="2" t="s">
        <v>80</v>
      </c>
      <c r="N1425" s="2" t="str">
        <f>"09.11.2015"</f>
        <v>09.11.2015</v>
      </c>
      <c r="O1425" s="3" t="str">
        <f>"2.450,00"</f>
        <v>2.450,00</v>
      </c>
      <c r="P1425" s="4"/>
    </row>
    <row r="1426" spans="2:16" ht="63" x14ac:dyDescent="0.25">
      <c r="B1426" s="2">
        <v>1193</v>
      </c>
      <c r="C1426" s="2" t="str">
        <f>"8-15/NOS-19/15"</f>
        <v>8-15/NOS-19/15</v>
      </c>
      <c r="D1426" s="2" t="s">
        <v>85</v>
      </c>
      <c r="E1426" s="2" t="s">
        <v>1250</v>
      </c>
      <c r="F1426" s="2" t="s">
        <v>277</v>
      </c>
      <c r="G1426" s="2" t="str">
        <f>"8-15/NOS-19/15"</f>
        <v>8-15/NOS-19/15</v>
      </c>
      <c r="H1426" s="2" t="str">
        <f t="shared" si="33"/>
        <v>Ugovor - narudžbenica (periodični predmet)</v>
      </c>
      <c r="I1426" s="2" t="s">
        <v>19</v>
      </c>
      <c r="J1426" s="3" t="str">
        <f>"2.609,10"</f>
        <v>2.609,10</v>
      </c>
      <c r="K1426" s="2" t="s">
        <v>1390</v>
      </c>
      <c r="L1426" s="2" t="s">
        <v>1386</v>
      </c>
      <c r="M1426" s="2" t="s">
        <v>44</v>
      </c>
      <c r="N1426" s="2" t="str">
        <f>"12.01.2016"</f>
        <v>12.01.2016</v>
      </c>
      <c r="O1426" s="3" t="str">
        <f>"2.609,10"</f>
        <v>2.609,10</v>
      </c>
      <c r="P1426" s="4"/>
    </row>
    <row r="1427" spans="2:16" ht="63" x14ac:dyDescent="0.25">
      <c r="B1427" s="2">
        <v>1194</v>
      </c>
      <c r="C1427" s="2" t="str">
        <f>"57-15/NOS-21/14"</f>
        <v>57-15/NOS-21/14</v>
      </c>
      <c r="D1427" s="2" t="s">
        <v>85</v>
      </c>
      <c r="E1427" s="2" t="s">
        <v>1250</v>
      </c>
      <c r="F1427" s="2" t="s">
        <v>1349</v>
      </c>
      <c r="G1427" s="2" t="str">
        <f>"57-15/NOS-21/14"</f>
        <v>57-15/NOS-21/14</v>
      </c>
      <c r="H1427" s="2" t="str">
        <f t="shared" si="33"/>
        <v>Ugovor - narudžbenica (periodični predmet)</v>
      </c>
      <c r="I1427" s="2" t="s">
        <v>19</v>
      </c>
      <c r="J1427" s="3" t="str">
        <f>"10.972,80"</f>
        <v>10.972,80</v>
      </c>
      <c r="K1427" s="2" t="s">
        <v>272</v>
      </c>
      <c r="L1427" s="2" t="s">
        <v>1386</v>
      </c>
      <c r="M1427" s="2" t="s">
        <v>944</v>
      </c>
      <c r="N1427" s="2" t="s">
        <v>23</v>
      </c>
      <c r="O1427" s="3" t="str">
        <f>"0,00"</f>
        <v>0,00</v>
      </c>
      <c r="P1427" s="4"/>
    </row>
    <row r="1428" spans="2:16" ht="63" x14ac:dyDescent="0.25">
      <c r="B1428" s="2">
        <v>1195</v>
      </c>
      <c r="C1428" s="2" t="str">
        <f>"7-15/NOS-57/14"</f>
        <v>7-15/NOS-57/14</v>
      </c>
      <c r="D1428" s="2" t="s">
        <v>16</v>
      </c>
      <c r="E1428" s="2" t="s">
        <v>1250</v>
      </c>
      <c r="F1428" s="2" t="s">
        <v>1376</v>
      </c>
      <c r="G1428" s="2" t="str">
        <f>"7-15/NOS-57/14"</f>
        <v>7-15/NOS-57/14</v>
      </c>
      <c r="H1428" s="2" t="str">
        <f t="shared" si="33"/>
        <v>Ugovor - narudžbenica (periodični predmet)</v>
      </c>
      <c r="I1428" s="2" t="s">
        <v>19</v>
      </c>
      <c r="J1428" s="3" t="str">
        <f>"3.394,20"</f>
        <v>3.394,20</v>
      </c>
      <c r="K1428" s="2" t="s">
        <v>272</v>
      </c>
      <c r="L1428" s="2" t="s">
        <v>1386</v>
      </c>
      <c r="M1428" s="2" t="s">
        <v>508</v>
      </c>
      <c r="N1428" s="2" t="str">
        <f>"15.12.2015"</f>
        <v>15.12.2015</v>
      </c>
      <c r="O1428" s="3" t="str">
        <f>"3.394,20"</f>
        <v>3.394,20</v>
      </c>
      <c r="P1428" s="4"/>
    </row>
    <row r="1429" spans="2:16" s="15" customFormat="1" ht="63" x14ac:dyDescent="0.25">
      <c r="B1429" s="12">
        <v>1196</v>
      </c>
      <c r="C1429" s="12" t="str">
        <f>"4-15/NOS-151/13"</f>
        <v>4-15/NOS-151/13</v>
      </c>
      <c r="D1429" s="12" t="s">
        <v>362</v>
      </c>
      <c r="E1429" s="12" t="s">
        <v>1250</v>
      </c>
      <c r="F1429" s="12" t="s">
        <v>1379</v>
      </c>
      <c r="G1429" s="12" t="str">
        <f>"4-15/NOS-151/13"</f>
        <v>4-15/NOS-151/13</v>
      </c>
      <c r="H1429" s="12" t="str">
        <f t="shared" si="33"/>
        <v>Ugovor - narudžbenica (periodični predmet)</v>
      </c>
      <c r="I1429" s="12" t="s">
        <v>19</v>
      </c>
      <c r="J1429" s="13" t="str">
        <f>"1.940,00"</f>
        <v>1.940,00</v>
      </c>
      <c r="K1429" s="12" t="s">
        <v>272</v>
      </c>
      <c r="L1429" s="12" t="s">
        <v>717</v>
      </c>
      <c r="M1429" s="12" t="s">
        <v>1391</v>
      </c>
      <c r="N1429" s="12" t="s">
        <v>23</v>
      </c>
      <c r="O1429" s="13" t="str">
        <f>"1.940,00"</f>
        <v>1.940,00</v>
      </c>
      <c r="P1429" s="14"/>
    </row>
    <row r="1430" spans="2:16" ht="63" x14ac:dyDescent="0.25">
      <c r="B1430" s="2">
        <v>1197</v>
      </c>
      <c r="C1430" s="2" t="str">
        <f>"4-15/NOS-33/15"</f>
        <v>4-15/NOS-33/15</v>
      </c>
      <c r="D1430" s="2" t="s">
        <v>16</v>
      </c>
      <c r="E1430" s="2" t="s">
        <v>1250</v>
      </c>
      <c r="F1430" s="2" t="s">
        <v>554</v>
      </c>
      <c r="G1430" s="2" t="str">
        <f>"4-15/NOS-33/15"</f>
        <v>4-15/NOS-33/15</v>
      </c>
      <c r="H1430" s="2" t="str">
        <f t="shared" si="33"/>
        <v>Ugovor - narudžbenica (periodični predmet)</v>
      </c>
      <c r="I1430" s="2" t="s">
        <v>19</v>
      </c>
      <c r="J1430" s="3" t="str">
        <f>"73.500,00"</f>
        <v>73.500,00</v>
      </c>
      <c r="K1430" s="2" t="s">
        <v>272</v>
      </c>
      <c r="L1430" s="2" t="s">
        <v>717</v>
      </c>
      <c r="M1430" s="2" t="s">
        <v>555</v>
      </c>
      <c r="N1430" s="2" t="str">
        <f>"08.01.2016"</f>
        <v>08.01.2016</v>
      </c>
      <c r="O1430" s="3" t="str">
        <f>"73.080,00"</f>
        <v>73.080,00</v>
      </c>
      <c r="P1430" s="4"/>
    </row>
    <row r="1431" spans="2:16" ht="63" x14ac:dyDescent="0.25">
      <c r="B1431" s="2">
        <v>1198</v>
      </c>
      <c r="C1431" s="2" t="str">
        <f>"7-15/NOS-214/13"</f>
        <v>7-15/NOS-214/13</v>
      </c>
      <c r="D1431" s="2" t="s">
        <v>28</v>
      </c>
      <c r="E1431" s="2" t="s">
        <v>1250</v>
      </c>
      <c r="F1431" s="2" t="s">
        <v>1326</v>
      </c>
      <c r="G1431" s="2" t="str">
        <f>"7-15/NOS-214/13"</f>
        <v>7-15/NOS-214/13</v>
      </c>
      <c r="H1431" s="2" t="str">
        <f t="shared" si="33"/>
        <v>Ugovor - narudžbenica (periodični predmet)</v>
      </c>
      <c r="I1431" s="2" t="s">
        <v>19</v>
      </c>
      <c r="J1431" s="3" t="str">
        <f>"34.345,50"</f>
        <v>34.345,50</v>
      </c>
      <c r="K1431" s="2" t="s">
        <v>272</v>
      </c>
      <c r="L1431" s="2" t="s">
        <v>1386</v>
      </c>
      <c r="M1431" s="2" t="s">
        <v>1327</v>
      </c>
      <c r="N1431" s="2" t="str">
        <f>"13.01.2016"</f>
        <v>13.01.2016</v>
      </c>
      <c r="O1431" s="3" t="str">
        <f>"34.345,50"</f>
        <v>34.345,50</v>
      </c>
      <c r="P1431" s="4"/>
    </row>
    <row r="1432" spans="2:16" s="19" customFormat="1" ht="47.25" x14ac:dyDescent="0.25">
      <c r="B1432" s="44">
        <v>1199</v>
      </c>
      <c r="C1432" s="44" t="str">
        <f>"6-15/NOS-97-A/15"</f>
        <v>6-15/NOS-97-A/15</v>
      </c>
      <c r="D1432" s="44" t="s">
        <v>16</v>
      </c>
      <c r="E1432" s="44" t="s">
        <v>1250</v>
      </c>
      <c r="F1432" s="44" t="s">
        <v>1271</v>
      </c>
      <c r="G1432" s="44" t="str">
        <f>"6-15/NOS-97-A/15"</f>
        <v>6-15/NOS-97-A/15</v>
      </c>
      <c r="H1432" s="44" t="str">
        <f t="shared" si="33"/>
        <v>Ugovor - narudžbenica (periodični predmet)</v>
      </c>
      <c r="I1432" s="44" t="s">
        <v>19</v>
      </c>
      <c r="J1432" s="42" t="str">
        <f>"3.255,00"</f>
        <v>3.255,00</v>
      </c>
      <c r="K1432" s="44" t="s">
        <v>272</v>
      </c>
      <c r="L1432" s="44" t="s">
        <v>1388</v>
      </c>
      <c r="M1432" s="44" t="s">
        <v>84</v>
      </c>
      <c r="N1432" s="44" t="str">
        <f>"30.12.2015"</f>
        <v>30.12.2015</v>
      </c>
      <c r="O1432" s="42" t="str">
        <f>"3.311,96"</f>
        <v>3.311,96</v>
      </c>
      <c r="P1432" s="25" t="s">
        <v>698</v>
      </c>
    </row>
    <row r="1433" spans="2:16" s="19" customFormat="1" ht="15" customHeight="1" x14ac:dyDescent="0.25">
      <c r="B1433" s="45"/>
      <c r="C1433" s="45"/>
      <c r="D1433" s="45"/>
      <c r="E1433" s="45"/>
      <c r="F1433" s="45"/>
      <c r="G1433" s="45"/>
      <c r="H1433" s="45"/>
      <c r="I1433" s="45"/>
      <c r="J1433" s="43"/>
      <c r="K1433" s="45"/>
      <c r="L1433" s="45"/>
      <c r="M1433" s="45"/>
      <c r="N1433" s="45"/>
      <c r="O1433" s="43"/>
      <c r="P1433" s="29"/>
    </row>
    <row r="1434" spans="2:16" s="15" customFormat="1" ht="63" x14ac:dyDescent="0.25">
      <c r="B1434" s="12">
        <v>1200</v>
      </c>
      <c r="C1434" s="12" t="str">
        <f>"1-15/NOS-15/15"</f>
        <v>1-15/NOS-15/15</v>
      </c>
      <c r="D1434" s="12" t="s">
        <v>16</v>
      </c>
      <c r="E1434" s="12" t="s">
        <v>1250</v>
      </c>
      <c r="F1434" s="12" t="s">
        <v>306</v>
      </c>
      <c r="G1434" s="12" t="str">
        <f>"1-15/NOS-15/15"</f>
        <v>1-15/NOS-15/15</v>
      </c>
      <c r="H1434" s="12" t="str">
        <f t="shared" ref="H1434:H1480" si="34">"Ugovor - narudžbenica (periodični predmet)"</f>
        <v>Ugovor - narudžbenica (periodični predmet)</v>
      </c>
      <c r="I1434" s="12" t="s">
        <v>19</v>
      </c>
      <c r="J1434" s="13" t="str">
        <f>"29.200,00"</f>
        <v>29.200,00</v>
      </c>
      <c r="K1434" s="12" t="s">
        <v>1375</v>
      </c>
      <c r="L1434" s="12" t="s">
        <v>717</v>
      </c>
      <c r="M1434" s="12" t="s">
        <v>309</v>
      </c>
      <c r="N1434" s="12" t="s">
        <v>23</v>
      </c>
      <c r="O1434" s="13" t="str">
        <f>"0,00"</f>
        <v>0,00</v>
      </c>
      <c r="P1434" s="14"/>
    </row>
    <row r="1435" spans="2:16" s="15" customFormat="1" ht="63" x14ac:dyDescent="0.25">
      <c r="B1435" s="12">
        <v>1201</v>
      </c>
      <c r="C1435" s="12" t="str">
        <f>"8-15/NOS-35/15"</f>
        <v>8-15/NOS-35/15</v>
      </c>
      <c r="D1435" s="12" t="s">
        <v>16</v>
      </c>
      <c r="E1435" s="12" t="s">
        <v>1250</v>
      </c>
      <c r="F1435" s="12" t="s">
        <v>243</v>
      </c>
      <c r="G1435" s="12" t="str">
        <f>"8-15/NOS-35/15"</f>
        <v>8-15/NOS-35/15</v>
      </c>
      <c r="H1435" s="12" t="str">
        <f t="shared" si="34"/>
        <v>Ugovor - narudžbenica (periodični predmet)</v>
      </c>
      <c r="I1435" s="12" t="s">
        <v>19</v>
      </c>
      <c r="J1435" s="13" t="str">
        <f>"1.626,20"</f>
        <v>1.626,20</v>
      </c>
      <c r="K1435" s="12" t="s">
        <v>1375</v>
      </c>
      <c r="L1435" s="12" t="s">
        <v>1388</v>
      </c>
      <c r="M1435" s="12" t="s">
        <v>246</v>
      </c>
      <c r="N1435" s="12" t="str">
        <f>"19.11.2015"</f>
        <v>19.11.2015</v>
      </c>
      <c r="O1435" s="13" t="str">
        <f>"1.607,00"</f>
        <v>1.607,00</v>
      </c>
      <c r="P1435" s="14"/>
    </row>
    <row r="1436" spans="2:16" s="15" customFormat="1" ht="63" x14ac:dyDescent="0.25">
      <c r="B1436" s="12">
        <v>1202</v>
      </c>
      <c r="C1436" s="12" t="str">
        <f>"6-15/NOS-62/15"</f>
        <v>6-15/NOS-62/15</v>
      </c>
      <c r="D1436" s="12" t="s">
        <v>16</v>
      </c>
      <c r="E1436" s="12" t="s">
        <v>1250</v>
      </c>
      <c r="F1436" s="12" t="s">
        <v>211</v>
      </c>
      <c r="G1436" s="12" t="str">
        <f>"6-15/NOS-62/15"</f>
        <v>6-15/NOS-62/15</v>
      </c>
      <c r="H1436" s="12" t="str">
        <f t="shared" si="34"/>
        <v>Ugovor - narudžbenica (periodični predmet)</v>
      </c>
      <c r="I1436" s="12" t="s">
        <v>19</v>
      </c>
      <c r="J1436" s="13" t="str">
        <f>"3.000,00"</f>
        <v>3.000,00</v>
      </c>
      <c r="K1436" s="12" t="s">
        <v>1375</v>
      </c>
      <c r="L1436" s="12" t="s">
        <v>1388</v>
      </c>
      <c r="M1436" s="12" t="s">
        <v>213</v>
      </c>
      <c r="N1436" s="12" t="s">
        <v>23</v>
      </c>
      <c r="O1436" s="13" t="str">
        <f>"0,00"</f>
        <v>0,00</v>
      </c>
      <c r="P1436" s="14"/>
    </row>
    <row r="1437" spans="2:16" ht="63" x14ac:dyDescent="0.25">
      <c r="B1437" s="2">
        <v>1203</v>
      </c>
      <c r="C1437" s="2" t="str">
        <f>"23-15/NOS-83/14"</f>
        <v>23-15/NOS-83/14</v>
      </c>
      <c r="D1437" s="2" t="s">
        <v>16</v>
      </c>
      <c r="E1437" s="2" t="s">
        <v>1250</v>
      </c>
      <c r="F1437" s="2" t="s">
        <v>1273</v>
      </c>
      <c r="G1437" s="2" t="str">
        <f>"23-15/NOS-83/14"</f>
        <v>23-15/NOS-83/14</v>
      </c>
      <c r="H1437" s="2" t="str">
        <f t="shared" si="34"/>
        <v>Ugovor - narudžbenica (periodični predmet)</v>
      </c>
      <c r="I1437" s="2" t="s">
        <v>19</v>
      </c>
      <c r="J1437" s="3" t="str">
        <f>"37.124,00"</f>
        <v>37.124,00</v>
      </c>
      <c r="K1437" s="2" t="s">
        <v>1392</v>
      </c>
      <c r="L1437" s="2" t="s">
        <v>1388</v>
      </c>
      <c r="M1437" s="2" t="s">
        <v>754</v>
      </c>
      <c r="N1437" s="2" t="str">
        <f>"14.12.2015"</f>
        <v>14.12.2015</v>
      </c>
      <c r="O1437" s="3" t="str">
        <f>"30.144,00"</f>
        <v>30.144,00</v>
      </c>
      <c r="P1437" s="4"/>
    </row>
    <row r="1438" spans="2:16" ht="63" x14ac:dyDescent="0.25">
      <c r="B1438" s="2">
        <v>1204</v>
      </c>
      <c r="C1438" s="2" t="str">
        <f>"9-15/NOS-60/15"</f>
        <v>9-15/NOS-60/15</v>
      </c>
      <c r="D1438" s="2" t="s">
        <v>16</v>
      </c>
      <c r="E1438" s="2" t="s">
        <v>1250</v>
      </c>
      <c r="F1438" s="2" t="s">
        <v>157</v>
      </c>
      <c r="G1438" s="2" t="str">
        <f>"9-15/NOS-60/15"</f>
        <v>9-15/NOS-60/15</v>
      </c>
      <c r="H1438" s="2" t="str">
        <f t="shared" si="34"/>
        <v>Ugovor - narudžbenica (periodični predmet)</v>
      </c>
      <c r="I1438" s="2" t="s">
        <v>19</v>
      </c>
      <c r="J1438" s="3" t="str">
        <f>"2.831,50"</f>
        <v>2.831,50</v>
      </c>
      <c r="K1438" s="2" t="s">
        <v>1392</v>
      </c>
      <c r="L1438" s="2" t="s">
        <v>1388</v>
      </c>
      <c r="M1438" s="2" t="s">
        <v>44</v>
      </c>
      <c r="N1438" s="2" t="str">
        <f>"29.12.2015"</f>
        <v>29.12.2015</v>
      </c>
      <c r="O1438" s="3" t="str">
        <f>"2.831,50"</f>
        <v>2.831,50</v>
      </c>
      <c r="P1438" s="4"/>
    </row>
    <row r="1439" spans="2:16" ht="63" x14ac:dyDescent="0.25">
      <c r="B1439" s="2">
        <v>1205</v>
      </c>
      <c r="C1439" s="2" t="str">
        <f>"6-15/NOS-75-I/15"</f>
        <v>6-15/NOS-75-I/15</v>
      </c>
      <c r="D1439" s="2" t="s">
        <v>16</v>
      </c>
      <c r="E1439" s="2" t="s">
        <v>1250</v>
      </c>
      <c r="F1439" s="2" t="s">
        <v>1337</v>
      </c>
      <c r="G1439" s="2" t="str">
        <f>"6-15/NOS-75-I/15"</f>
        <v>6-15/NOS-75-I/15</v>
      </c>
      <c r="H1439" s="2" t="str">
        <f t="shared" si="34"/>
        <v>Ugovor - narudžbenica (periodični predmet)</v>
      </c>
      <c r="I1439" s="2" t="s">
        <v>19</v>
      </c>
      <c r="J1439" s="3" t="str">
        <f>"56.430,00"</f>
        <v>56.430,00</v>
      </c>
      <c r="K1439" s="2" t="s">
        <v>1392</v>
      </c>
      <c r="L1439" s="2" t="s">
        <v>1388</v>
      </c>
      <c r="M1439" s="2" t="s">
        <v>612</v>
      </c>
      <c r="N1439" s="2" t="str">
        <f>"17.12.2015"</f>
        <v>17.12.2015</v>
      </c>
      <c r="O1439" s="3" t="str">
        <f>"12.350,00"</f>
        <v>12.350,00</v>
      </c>
      <c r="P1439" s="4"/>
    </row>
    <row r="1440" spans="2:16" ht="63" x14ac:dyDescent="0.25">
      <c r="B1440" s="2">
        <v>1206</v>
      </c>
      <c r="C1440" s="2" t="str">
        <f>"8-15/NOS-75-F/15"</f>
        <v>8-15/NOS-75-F/15</v>
      </c>
      <c r="D1440" s="2" t="s">
        <v>16</v>
      </c>
      <c r="E1440" s="2" t="s">
        <v>1250</v>
      </c>
      <c r="F1440" s="2" t="s">
        <v>1337</v>
      </c>
      <c r="G1440" s="2" t="str">
        <f>"8-15/NOS-75-F/15"</f>
        <v>8-15/NOS-75-F/15</v>
      </c>
      <c r="H1440" s="2" t="str">
        <f t="shared" si="34"/>
        <v>Ugovor - narudžbenica (periodični predmet)</v>
      </c>
      <c r="I1440" s="2" t="s">
        <v>19</v>
      </c>
      <c r="J1440" s="3" t="str">
        <f>"28.377,00"</f>
        <v>28.377,00</v>
      </c>
      <c r="K1440" s="2" t="s">
        <v>1392</v>
      </c>
      <c r="L1440" s="2" t="s">
        <v>1388</v>
      </c>
      <c r="M1440" s="2" t="s">
        <v>218</v>
      </c>
      <c r="N1440" s="2" t="str">
        <f>"02.12.2015"</f>
        <v>02.12.2015</v>
      </c>
      <c r="O1440" s="3" t="str">
        <f>"1.127,00"</f>
        <v>1.127,00</v>
      </c>
      <c r="P1440" s="4"/>
    </row>
    <row r="1441" spans="2:16" s="15" customFormat="1" ht="63" x14ac:dyDescent="0.25">
      <c r="B1441" s="12">
        <v>1207</v>
      </c>
      <c r="C1441" s="12" t="str">
        <f>"6-15/NOS-83-A/15"</f>
        <v>6-15/NOS-83-A/15</v>
      </c>
      <c r="D1441" s="12" t="s">
        <v>16</v>
      </c>
      <c r="E1441" s="12" t="s">
        <v>1250</v>
      </c>
      <c r="F1441" s="12" t="s">
        <v>1340</v>
      </c>
      <c r="G1441" s="12" t="str">
        <f>"6-15/NOS-83-A/15"</f>
        <v>6-15/NOS-83-A/15</v>
      </c>
      <c r="H1441" s="12" t="str">
        <f t="shared" si="34"/>
        <v>Ugovor - narudžbenica (periodični predmet)</v>
      </c>
      <c r="I1441" s="12" t="s">
        <v>19</v>
      </c>
      <c r="J1441" s="13" t="str">
        <f>"2.726,97"</f>
        <v>2.726,97</v>
      </c>
      <c r="K1441" s="12" t="s">
        <v>1392</v>
      </c>
      <c r="L1441" s="12" t="s">
        <v>1388</v>
      </c>
      <c r="M1441" s="12" t="s">
        <v>75</v>
      </c>
      <c r="N1441" s="12" t="s">
        <v>23</v>
      </c>
      <c r="O1441" s="13" t="str">
        <f>"0,00"</f>
        <v>0,00</v>
      </c>
      <c r="P1441" s="14"/>
    </row>
    <row r="1442" spans="2:16" ht="63" x14ac:dyDescent="0.25">
      <c r="B1442" s="2">
        <v>1208</v>
      </c>
      <c r="C1442" s="2" t="str">
        <f>"1-15/NOS-75-D/15"</f>
        <v>1-15/NOS-75-D/15</v>
      </c>
      <c r="D1442" s="2" t="s">
        <v>16</v>
      </c>
      <c r="E1442" s="2" t="s">
        <v>1250</v>
      </c>
      <c r="F1442" s="2" t="s">
        <v>1337</v>
      </c>
      <c r="G1442" s="2" t="str">
        <f>"1-15/NOS-75-D/15"</f>
        <v>1-15/NOS-75-D/15</v>
      </c>
      <c r="H1442" s="2" t="str">
        <f t="shared" si="34"/>
        <v>Ugovor - narudžbenica (periodični predmet)</v>
      </c>
      <c r="I1442" s="2" t="s">
        <v>19</v>
      </c>
      <c r="J1442" s="3" t="str">
        <f>"20.899,00"</f>
        <v>20.899,00</v>
      </c>
      <c r="K1442" s="2" t="s">
        <v>1383</v>
      </c>
      <c r="L1442" s="2" t="s">
        <v>1388</v>
      </c>
      <c r="M1442" s="2" t="s">
        <v>689</v>
      </c>
      <c r="N1442" s="2" t="str">
        <f>"03.12.2015"</f>
        <v>03.12.2015</v>
      </c>
      <c r="O1442" s="3" t="str">
        <f>"20.899,00"</f>
        <v>20.899,00</v>
      </c>
      <c r="P1442" s="4"/>
    </row>
    <row r="1443" spans="2:16" ht="63" x14ac:dyDescent="0.25">
      <c r="B1443" s="2">
        <v>1209</v>
      </c>
      <c r="C1443" s="2" t="str">
        <f>"10-15/NOS-75-A/15"</f>
        <v>10-15/NOS-75-A/15</v>
      </c>
      <c r="D1443" s="2" t="s">
        <v>28</v>
      </c>
      <c r="E1443" s="2" t="s">
        <v>1250</v>
      </c>
      <c r="F1443" s="2" t="s">
        <v>1337</v>
      </c>
      <c r="G1443" s="2" t="str">
        <f>"10-15/NOS-75-A/15"</f>
        <v>10-15/NOS-75-A/15</v>
      </c>
      <c r="H1443" s="2" t="str">
        <f t="shared" si="34"/>
        <v>Ugovor - narudžbenica (periodični predmet)</v>
      </c>
      <c r="I1443" s="2" t="s">
        <v>19</v>
      </c>
      <c r="J1443" s="3" t="str">
        <f>"329.800,00"</f>
        <v>329.800,00</v>
      </c>
      <c r="K1443" s="2" t="s">
        <v>1383</v>
      </c>
      <c r="L1443" s="2" t="s">
        <v>717</v>
      </c>
      <c r="M1443" s="2" t="s">
        <v>218</v>
      </c>
      <c r="N1443" s="2" t="str">
        <f>"12.01.2016"</f>
        <v>12.01.2016</v>
      </c>
      <c r="O1443" s="3" t="str">
        <f>"18.160,00"</f>
        <v>18.160,00</v>
      </c>
      <c r="P1443" s="4"/>
    </row>
    <row r="1444" spans="2:16" ht="63" x14ac:dyDescent="0.25">
      <c r="B1444" s="2">
        <v>1210</v>
      </c>
      <c r="C1444" s="2" t="str">
        <f>"20-15/NOS-205/13"</f>
        <v>20-15/NOS-205/13</v>
      </c>
      <c r="D1444" s="2" t="s">
        <v>16</v>
      </c>
      <c r="E1444" s="2" t="s">
        <v>1250</v>
      </c>
      <c r="F1444" s="2" t="s">
        <v>1290</v>
      </c>
      <c r="G1444" s="2" t="str">
        <f>"20-15/NOS-205/13"</f>
        <v>20-15/NOS-205/13</v>
      </c>
      <c r="H1444" s="2" t="str">
        <f t="shared" si="34"/>
        <v>Ugovor - narudžbenica (periodični predmet)</v>
      </c>
      <c r="I1444" s="2" t="s">
        <v>19</v>
      </c>
      <c r="J1444" s="3" t="str">
        <f>"2.583,60"</f>
        <v>2.583,60</v>
      </c>
      <c r="K1444" s="2" t="s">
        <v>1383</v>
      </c>
      <c r="L1444" s="2" t="s">
        <v>717</v>
      </c>
      <c r="M1444" s="2" t="s">
        <v>1291</v>
      </c>
      <c r="N1444" s="2" t="str">
        <f>"23.12.2015"</f>
        <v>23.12.2015</v>
      </c>
      <c r="O1444" s="3" t="str">
        <f>"1.398,00"</f>
        <v>1.398,00</v>
      </c>
      <c r="P1444" s="4"/>
    </row>
    <row r="1445" spans="2:16" ht="63" x14ac:dyDescent="0.25">
      <c r="B1445" s="2">
        <v>1211</v>
      </c>
      <c r="C1445" s="2" t="str">
        <f>"11-15/NOS-70/14"</f>
        <v>11-15/NOS-70/14</v>
      </c>
      <c r="D1445" s="2" t="s">
        <v>16</v>
      </c>
      <c r="E1445" s="2" t="s">
        <v>1250</v>
      </c>
      <c r="F1445" s="2" t="s">
        <v>1287</v>
      </c>
      <c r="G1445" s="2" t="str">
        <f>"11-15/NOS-70/14"</f>
        <v>11-15/NOS-70/14</v>
      </c>
      <c r="H1445" s="2" t="str">
        <f t="shared" si="34"/>
        <v>Ugovor - narudžbenica (periodični predmet)</v>
      </c>
      <c r="I1445" s="2" t="s">
        <v>19</v>
      </c>
      <c r="J1445" s="3" t="str">
        <f>"10.938,00"</f>
        <v>10.938,00</v>
      </c>
      <c r="K1445" s="2" t="s">
        <v>1383</v>
      </c>
      <c r="L1445" s="2" t="s">
        <v>717</v>
      </c>
      <c r="M1445" s="2" t="s">
        <v>1288</v>
      </c>
      <c r="N1445" s="2" t="str">
        <f>"02.12.2015"</f>
        <v>02.12.2015</v>
      </c>
      <c r="O1445" s="3" t="str">
        <f>"10.634,00"</f>
        <v>10.634,00</v>
      </c>
      <c r="P1445" s="4"/>
    </row>
    <row r="1446" spans="2:16" ht="63" x14ac:dyDescent="0.25">
      <c r="B1446" s="2">
        <v>1212</v>
      </c>
      <c r="C1446" s="2" t="str">
        <f>"14-15/NOS-56/14"</f>
        <v>14-15/NOS-56/14</v>
      </c>
      <c r="D1446" s="2" t="s">
        <v>16</v>
      </c>
      <c r="E1446" s="2" t="s">
        <v>1250</v>
      </c>
      <c r="F1446" s="2" t="s">
        <v>1286</v>
      </c>
      <c r="G1446" s="2" t="str">
        <f>"14-15/NOS-56/14"</f>
        <v>14-15/NOS-56/14</v>
      </c>
      <c r="H1446" s="2" t="str">
        <f t="shared" si="34"/>
        <v>Ugovor - narudžbenica (periodični predmet)</v>
      </c>
      <c r="I1446" s="2" t="s">
        <v>19</v>
      </c>
      <c r="J1446" s="3" t="str">
        <f>"182.000,00"</f>
        <v>182.000,00</v>
      </c>
      <c r="K1446" s="2" t="s">
        <v>1383</v>
      </c>
      <c r="L1446" s="2" t="s">
        <v>1393</v>
      </c>
      <c r="M1446" s="2" t="s">
        <v>715</v>
      </c>
      <c r="N1446" s="2" t="str">
        <f>"08.12.2015"</f>
        <v>08.12.2015</v>
      </c>
      <c r="O1446" s="3" t="str">
        <f>"182.000,00"</f>
        <v>182.000,00</v>
      </c>
      <c r="P1446" s="4"/>
    </row>
    <row r="1447" spans="2:16" ht="63" x14ac:dyDescent="0.25">
      <c r="B1447" s="2">
        <v>1213</v>
      </c>
      <c r="C1447" s="2" t="str">
        <f>"14-15/NOS-112/14"</f>
        <v>14-15/NOS-112/14</v>
      </c>
      <c r="D1447" s="2" t="s">
        <v>16</v>
      </c>
      <c r="E1447" s="2" t="s">
        <v>1250</v>
      </c>
      <c r="F1447" s="2" t="s">
        <v>77</v>
      </c>
      <c r="G1447" s="2" t="str">
        <f>"14-15/NOS-112/14"</f>
        <v>14-15/NOS-112/14</v>
      </c>
      <c r="H1447" s="2" t="str">
        <f t="shared" si="34"/>
        <v>Ugovor - narudžbenica (periodični predmet)</v>
      </c>
      <c r="I1447" s="2" t="s">
        <v>19</v>
      </c>
      <c r="J1447" s="3" t="str">
        <f>"5.150,00"</f>
        <v>5.150,00</v>
      </c>
      <c r="K1447" s="2" t="s">
        <v>1383</v>
      </c>
      <c r="L1447" s="2" t="s">
        <v>717</v>
      </c>
      <c r="M1447" s="2" t="s">
        <v>80</v>
      </c>
      <c r="N1447" s="2" t="str">
        <f>"23.11.2015"</f>
        <v>23.11.2015</v>
      </c>
      <c r="O1447" s="3" t="str">
        <f>"5.150,00"</f>
        <v>5.150,00</v>
      </c>
      <c r="P1447" s="4"/>
    </row>
    <row r="1448" spans="2:16" ht="63" x14ac:dyDescent="0.25">
      <c r="B1448" s="2">
        <v>1214</v>
      </c>
      <c r="C1448" s="2" t="str">
        <f>"9-15/NOS-39/15"</f>
        <v>9-15/NOS-39/15</v>
      </c>
      <c r="D1448" s="2" t="s">
        <v>16</v>
      </c>
      <c r="E1448" s="2" t="s">
        <v>1250</v>
      </c>
      <c r="F1448" s="2" t="s">
        <v>300</v>
      </c>
      <c r="G1448" s="2" t="str">
        <f>"9-15/NOS-39/15"</f>
        <v>9-15/NOS-39/15</v>
      </c>
      <c r="H1448" s="2" t="str">
        <f t="shared" si="34"/>
        <v>Ugovor - narudžbenica (periodični predmet)</v>
      </c>
      <c r="I1448" s="2" t="s">
        <v>19</v>
      </c>
      <c r="J1448" s="3" t="str">
        <f>"4.566,85"</f>
        <v>4.566,85</v>
      </c>
      <c r="K1448" s="2" t="s">
        <v>1383</v>
      </c>
      <c r="L1448" s="2" t="s">
        <v>717</v>
      </c>
      <c r="M1448" s="2" t="s">
        <v>303</v>
      </c>
      <c r="N1448" s="2" t="str">
        <f>"14.01.2016"</f>
        <v>14.01.2016</v>
      </c>
      <c r="O1448" s="3" t="str">
        <f>"4.527,45"</f>
        <v>4.527,45</v>
      </c>
      <c r="P1448" s="4"/>
    </row>
    <row r="1449" spans="2:16" ht="63" x14ac:dyDescent="0.25">
      <c r="B1449" s="2">
        <v>1215</v>
      </c>
      <c r="C1449" s="2" t="str">
        <f>"8-15/NOS-70-A/15"</f>
        <v>8-15/NOS-70-A/15</v>
      </c>
      <c r="D1449" s="2" t="s">
        <v>28</v>
      </c>
      <c r="E1449" s="2" t="s">
        <v>1250</v>
      </c>
      <c r="F1449" s="2" t="s">
        <v>1342</v>
      </c>
      <c r="G1449" s="2" t="str">
        <f>"8-15/NOS-70-A/15"</f>
        <v>8-15/NOS-70-A/15</v>
      </c>
      <c r="H1449" s="2" t="str">
        <f t="shared" si="34"/>
        <v>Ugovor - narudžbenica (periodični predmet)</v>
      </c>
      <c r="I1449" s="2" t="s">
        <v>19</v>
      </c>
      <c r="J1449" s="3" t="str">
        <f>"2.250,55"</f>
        <v>2.250,55</v>
      </c>
      <c r="K1449" s="2" t="s">
        <v>1383</v>
      </c>
      <c r="L1449" s="2" t="s">
        <v>717</v>
      </c>
      <c r="M1449" s="2" t="s">
        <v>508</v>
      </c>
      <c r="N1449" s="2" t="str">
        <f>"04.12.2015"</f>
        <v>04.12.2015</v>
      </c>
      <c r="O1449" s="3" t="str">
        <f>"2.250,55"</f>
        <v>2.250,55</v>
      </c>
      <c r="P1449" s="4"/>
    </row>
    <row r="1450" spans="2:16" s="15" customFormat="1" ht="63" x14ac:dyDescent="0.25">
      <c r="B1450" s="12">
        <v>1216</v>
      </c>
      <c r="C1450" s="12" t="str">
        <f>"42-15/NOS-216-A/13"</f>
        <v>42-15/NOS-216-A/13</v>
      </c>
      <c r="D1450" s="12" t="s">
        <v>903</v>
      </c>
      <c r="E1450" s="12" t="s">
        <v>1250</v>
      </c>
      <c r="F1450" s="12" t="s">
        <v>1355</v>
      </c>
      <c r="G1450" s="12" t="str">
        <f>"42-15/NOS-216-A/13"</f>
        <v>42-15/NOS-216-A/13</v>
      </c>
      <c r="H1450" s="12" t="str">
        <f t="shared" si="34"/>
        <v>Ugovor - narudžbenica (periodični predmet)</v>
      </c>
      <c r="I1450" s="12" t="s">
        <v>19</v>
      </c>
      <c r="J1450" s="13" t="str">
        <f>"289.869,53"</f>
        <v>289.869,53</v>
      </c>
      <c r="K1450" s="12" t="s">
        <v>1383</v>
      </c>
      <c r="L1450" s="12" t="s">
        <v>1381</v>
      </c>
      <c r="M1450" s="12" t="s">
        <v>358</v>
      </c>
      <c r="N1450" s="12" t="str">
        <f>"20.11.2015"</f>
        <v>20.11.2015</v>
      </c>
      <c r="O1450" s="13" t="str">
        <f>"289.869,53"</f>
        <v>289.869,53</v>
      </c>
      <c r="P1450" s="14"/>
    </row>
    <row r="1451" spans="2:16" ht="63" x14ac:dyDescent="0.25">
      <c r="B1451" s="2">
        <v>1217</v>
      </c>
      <c r="C1451" s="2" t="str">
        <f>"14-15/NOS-122/14"</f>
        <v>14-15/NOS-122/14</v>
      </c>
      <c r="D1451" s="2" t="s">
        <v>16</v>
      </c>
      <c r="E1451" s="2" t="s">
        <v>1250</v>
      </c>
      <c r="F1451" s="2" t="s">
        <v>58</v>
      </c>
      <c r="G1451" s="2" t="str">
        <f>"14-15/NOS-122/14"</f>
        <v>14-15/NOS-122/14</v>
      </c>
      <c r="H1451" s="2" t="str">
        <f t="shared" si="34"/>
        <v>Ugovor - narudžbenica (periodični predmet)</v>
      </c>
      <c r="I1451" s="2" t="s">
        <v>19</v>
      </c>
      <c r="J1451" s="3" t="str">
        <f>"813,00"</f>
        <v>813,00</v>
      </c>
      <c r="K1451" s="2" t="s">
        <v>1383</v>
      </c>
      <c r="L1451" s="2" t="s">
        <v>717</v>
      </c>
      <c r="M1451" s="2" t="s">
        <v>63</v>
      </c>
      <c r="N1451" s="2" t="str">
        <f>"10.12.2015"</f>
        <v>10.12.2015</v>
      </c>
      <c r="O1451" s="3" t="str">
        <f>"813,00"</f>
        <v>813,00</v>
      </c>
      <c r="P1451" s="4"/>
    </row>
    <row r="1452" spans="2:16" ht="63" x14ac:dyDescent="0.25">
      <c r="B1452" s="2">
        <v>1218</v>
      </c>
      <c r="C1452" s="2" t="str">
        <f>"6-15/NOS-75-B/15"</f>
        <v>6-15/NOS-75-B/15</v>
      </c>
      <c r="D1452" s="2" t="s">
        <v>16</v>
      </c>
      <c r="E1452" s="2" t="s">
        <v>1250</v>
      </c>
      <c r="F1452" s="2" t="s">
        <v>1337</v>
      </c>
      <c r="G1452" s="2" t="str">
        <f>"6-15/NOS-75-B/15"</f>
        <v>6-15/NOS-75-B/15</v>
      </c>
      <c r="H1452" s="2" t="str">
        <f t="shared" si="34"/>
        <v>Ugovor - narudžbenica (periodični predmet)</v>
      </c>
      <c r="I1452" s="2" t="s">
        <v>19</v>
      </c>
      <c r="J1452" s="3" t="str">
        <f>"10.466,00"</f>
        <v>10.466,00</v>
      </c>
      <c r="K1452" s="2" t="s">
        <v>1381</v>
      </c>
      <c r="L1452" s="2" t="s">
        <v>717</v>
      </c>
      <c r="M1452" s="2" t="s">
        <v>612</v>
      </c>
      <c r="N1452" s="2" t="str">
        <f>"31.12.2015"</f>
        <v>31.12.2015</v>
      </c>
      <c r="O1452" s="3" t="str">
        <f>"1.185,00"</f>
        <v>1.185,00</v>
      </c>
      <c r="P1452" s="4"/>
    </row>
    <row r="1453" spans="2:16" ht="63" x14ac:dyDescent="0.25">
      <c r="B1453" s="2">
        <v>1219</v>
      </c>
      <c r="C1453" s="2" t="str">
        <f>"6-15/NOS-75-C/15"</f>
        <v>6-15/NOS-75-C/15</v>
      </c>
      <c r="D1453" s="2" t="s">
        <v>16</v>
      </c>
      <c r="E1453" s="2" t="s">
        <v>1250</v>
      </c>
      <c r="F1453" s="2" t="s">
        <v>1337</v>
      </c>
      <c r="G1453" s="2" t="str">
        <f>"6-15/NOS-75-C/15"</f>
        <v>6-15/NOS-75-C/15</v>
      </c>
      <c r="H1453" s="2" t="str">
        <f t="shared" si="34"/>
        <v>Ugovor - narudžbenica (periodični predmet)</v>
      </c>
      <c r="I1453" s="2" t="s">
        <v>19</v>
      </c>
      <c r="J1453" s="3" t="str">
        <f>"721,00"</f>
        <v>721,00</v>
      </c>
      <c r="K1453" s="2" t="s">
        <v>1381</v>
      </c>
      <c r="L1453" s="2" t="s">
        <v>717</v>
      </c>
      <c r="M1453" s="2" t="s">
        <v>613</v>
      </c>
      <c r="N1453" s="2" t="str">
        <f>"21.12.2015"</f>
        <v>21.12.2015</v>
      </c>
      <c r="O1453" s="3" t="str">
        <f>"721,00"</f>
        <v>721,00</v>
      </c>
      <c r="P1453" s="4"/>
    </row>
    <row r="1454" spans="2:16" ht="63" x14ac:dyDescent="0.25">
      <c r="B1454" s="2">
        <v>1220</v>
      </c>
      <c r="C1454" s="2" t="str">
        <f>"4-15/NOS-95/15"</f>
        <v>4-15/NOS-95/15</v>
      </c>
      <c r="D1454" s="2" t="s">
        <v>16</v>
      </c>
      <c r="E1454" s="2" t="s">
        <v>1250</v>
      </c>
      <c r="F1454" s="2" t="s">
        <v>510</v>
      </c>
      <c r="G1454" s="2" t="str">
        <f>"4-15/NOS-95/15"</f>
        <v>4-15/NOS-95/15</v>
      </c>
      <c r="H1454" s="2" t="str">
        <f t="shared" si="34"/>
        <v>Ugovor - narudžbenica (periodični predmet)</v>
      </c>
      <c r="I1454" s="2" t="s">
        <v>19</v>
      </c>
      <c r="J1454" s="3" t="str">
        <f>"10.584,00"</f>
        <v>10.584,00</v>
      </c>
      <c r="K1454" s="2" t="s">
        <v>1381</v>
      </c>
      <c r="L1454" s="2" t="s">
        <v>1388</v>
      </c>
      <c r="M1454" s="2" t="s">
        <v>73</v>
      </c>
      <c r="N1454" s="2" t="str">
        <f>"14.12.2015"</f>
        <v>14.12.2015</v>
      </c>
      <c r="O1454" s="3" t="str">
        <f>"10.584,00"</f>
        <v>10.584,00</v>
      </c>
      <c r="P1454" s="4"/>
    </row>
    <row r="1455" spans="2:16" ht="63" x14ac:dyDescent="0.25">
      <c r="B1455" s="2">
        <v>1221</v>
      </c>
      <c r="C1455" s="2" t="str">
        <f>"6-15/NOS-75-G/15"</f>
        <v>6-15/NOS-75-G/15</v>
      </c>
      <c r="D1455" s="2" t="s">
        <v>16</v>
      </c>
      <c r="E1455" s="2" t="s">
        <v>1250</v>
      </c>
      <c r="F1455" s="2" t="s">
        <v>1337</v>
      </c>
      <c r="G1455" s="2" t="str">
        <f>"6-15/NOS-75-G/15"</f>
        <v>6-15/NOS-75-G/15</v>
      </c>
      <c r="H1455" s="2" t="str">
        <f t="shared" si="34"/>
        <v>Ugovor - narudžbenica (periodični predmet)</v>
      </c>
      <c r="I1455" s="2" t="s">
        <v>19</v>
      </c>
      <c r="J1455" s="3" t="str">
        <f>"590,00"</f>
        <v>590,00</v>
      </c>
      <c r="K1455" s="2" t="s">
        <v>1381</v>
      </c>
      <c r="L1455" s="2" t="s">
        <v>717</v>
      </c>
      <c r="M1455" s="2" t="s">
        <v>613</v>
      </c>
      <c r="N1455" s="2" t="str">
        <f>"21.12.2015"</f>
        <v>21.12.2015</v>
      </c>
      <c r="O1455" s="3" t="str">
        <f>"590,00"</f>
        <v>590,00</v>
      </c>
      <c r="P1455" s="4"/>
    </row>
    <row r="1456" spans="2:16" ht="63" x14ac:dyDescent="0.25">
      <c r="B1456" s="2">
        <v>1222</v>
      </c>
      <c r="C1456" s="2" t="str">
        <f>"5-15/NOS-93/15"</f>
        <v>5-15/NOS-93/15</v>
      </c>
      <c r="D1456" s="2" t="s">
        <v>16</v>
      </c>
      <c r="E1456" s="2" t="s">
        <v>1250</v>
      </c>
      <c r="F1456" s="2" t="s">
        <v>543</v>
      </c>
      <c r="G1456" s="2" t="str">
        <f>"5-15/NOS-93/15"</f>
        <v>5-15/NOS-93/15</v>
      </c>
      <c r="H1456" s="2" t="str">
        <f t="shared" si="34"/>
        <v>Ugovor - narudžbenica (periodični predmet)</v>
      </c>
      <c r="I1456" s="2" t="s">
        <v>19</v>
      </c>
      <c r="J1456" s="3" t="str">
        <f>"24.408,00"</f>
        <v>24.408,00</v>
      </c>
      <c r="K1456" s="2" t="s">
        <v>1381</v>
      </c>
      <c r="L1456" s="2" t="s">
        <v>717</v>
      </c>
      <c r="M1456" s="2" t="s">
        <v>544</v>
      </c>
      <c r="N1456" s="2" t="str">
        <f>"09.12.2015"</f>
        <v>09.12.2015</v>
      </c>
      <c r="O1456" s="3" t="str">
        <f>"24.343,00"</f>
        <v>24.343,00</v>
      </c>
      <c r="P1456" s="4"/>
    </row>
    <row r="1457" spans="2:16" ht="63" x14ac:dyDescent="0.25">
      <c r="B1457" s="2">
        <v>1223</v>
      </c>
      <c r="C1457" s="2" t="str">
        <f>"4-15/NOS-101-A/15"</f>
        <v>4-15/NOS-101-A/15</v>
      </c>
      <c r="D1457" s="2" t="s">
        <v>16</v>
      </c>
      <c r="E1457" s="2" t="s">
        <v>1250</v>
      </c>
      <c r="F1457" s="2" t="s">
        <v>1352</v>
      </c>
      <c r="G1457" s="2" t="str">
        <f>"4-15/NOS-101-A/15"</f>
        <v>4-15/NOS-101-A/15</v>
      </c>
      <c r="H1457" s="2" t="str">
        <f t="shared" si="34"/>
        <v>Ugovor - narudžbenica (periodični predmet)</v>
      </c>
      <c r="I1457" s="2" t="s">
        <v>19</v>
      </c>
      <c r="J1457" s="3" t="str">
        <f>"1.492,68"</f>
        <v>1.492,68</v>
      </c>
      <c r="K1457" s="2" t="s">
        <v>1381</v>
      </c>
      <c r="L1457" s="2" t="s">
        <v>717</v>
      </c>
      <c r="M1457" s="2" t="s">
        <v>418</v>
      </c>
      <c r="N1457" s="2" t="str">
        <f>"16.11.2015"</f>
        <v>16.11.2015</v>
      </c>
      <c r="O1457" s="3" t="str">
        <f>"1.492,68"</f>
        <v>1.492,68</v>
      </c>
      <c r="P1457" s="4"/>
    </row>
    <row r="1458" spans="2:16" ht="63" x14ac:dyDescent="0.25">
      <c r="B1458" s="2">
        <v>1224</v>
      </c>
      <c r="C1458" s="2" t="str">
        <f>"12-15/NOS-203/13"</f>
        <v>12-15/NOS-203/13</v>
      </c>
      <c r="D1458" s="2" t="s">
        <v>16</v>
      </c>
      <c r="E1458" s="2" t="s">
        <v>1250</v>
      </c>
      <c r="F1458" s="2" t="s">
        <v>1303</v>
      </c>
      <c r="G1458" s="2" t="str">
        <f>"12-15/NOS-203/13"</f>
        <v>12-15/NOS-203/13</v>
      </c>
      <c r="H1458" s="2" t="str">
        <f t="shared" si="34"/>
        <v>Ugovor - narudžbenica (periodični predmet)</v>
      </c>
      <c r="I1458" s="2" t="s">
        <v>19</v>
      </c>
      <c r="J1458" s="3" t="str">
        <f>"48.734,47"</f>
        <v>48.734,47</v>
      </c>
      <c r="K1458" s="2" t="s">
        <v>1381</v>
      </c>
      <c r="L1458" s="2" t="s">
        <v>717</v>
      </c>
      <c r="M1458" s="2" t="s">
        <v>1305</v>
      </c>
      <c r="N1458" s="2" t="str">
        <f>"30.11.2015"</f>
        <v>30.11.2015</v>
      </c>
      <c r="O1458" s="3" t="str">
        <f>"48.734,47"</f>
        <v>48.734,47</v>
      </c>
      <c r="P1458" s="4"/>
    </row>
    <row r="1459" spans="2:16" ht="63" x14ac:dyDescent="0.25">
      <c r="B1459" s="2">
        <v>1225</v>
      </c>
      <c r="C1459" s="2" t="str">
        <f>"7-15/NOS-100-A/15"</f>
        <v>7-15/NOS-100-A/15</v>
      </c>
      <c r="D1459" s="2" t="s">
        <v>28</v>
      </c>
      <c r="E1459" s="2" t="s">
        <v>1250</v>
      </c>
      <c r="F1459" s="2" t="s">
        <v>1255</v>
      </c>
      <c r="G1459" s="2" t="str">
        <f>"7-15/NOS-100-A/15"</f>
        <v>7-15/NOS-100-A/15</v>
      </c>
      <c r="H1459" s="2" t="str">
        <f t="shared" si="34"/>
        <v>Ugovor - narudžbenica (periodični predmet)</v>
      </c>
      <c r="I1459" s="2" t="s">
        <v>19</v>
      </c>
      <c r="J1459" s="3" t="str">
        <f>"17.711,80"</f>
        <v>17.711,80</v>
      </c>
      <c r="K1459" s="2" t="s">
        <v>1381</v>
      </c>
      <c r="L1459" s="2" t="s">
        <v>717</v>
      </c>
      <c r="M1459" s="2" t="s">
        <v>565</v>
      </c>
      <c r="N1459" s="2" t="str">
        <f>"13.01.2016"</f>
        <v>13.01.2016</v>
      </c>
      <c r="O1459" s="3" t="str">
        <f>"8.591,80"</f>
        <v>8.591,80</v>
      </c>
      <c r="P1459" s="4"/>
    </row>
    <row r="1460" spans="2:16" ht="63" x14ac:dyDescent="0.25">
      <c r="B1460" s="2">
        <v>1226</v>
      </c>
      <c r="C1460" s="2" t="str">
        <f>"14-15/NOS-108/14"</f>
        <v>14-15/NOS-108/14</v>
      </c>
      <c r="D1460" s="2" t="s">
        <v>16</v>
      </c>
      <c r="E1460" s="2" t="s">
        <v>1250</v>
      </c>
      <c r="F1460" s="2" t="s">
        <v>41</v>
      </c>
      <c r="G1460" s="2" t="str">
        <f>"14-15/NOS-108/14"</f>
        <v>14-15/NOS-108/14</v>
      </c>
      <c r="H1460" s="2" t="str">
        <f t="shared" si="34"/>
        <v>Ugovor - narudžbenica (periodični predmet)</v>
      </c>
      <c r="I1460" s="2" t="s">
        <v>19</v>
      </c>
      <c r="J1460" s="3" t="str">
        <f>"62.271,86"</f>
        <v>62.271,86</v>
      </c>
      <c r="K1460" s="2" t="s">
        <v>1381</v>
      </c>
      <c r="L1460" s="2" t="s">
        <v>717</v>
      </c>
      <c r="M1460" s="2" t="s">
        <v>44</v>
      </c>
      <c r="N1460" s="2" t="str">
        <f>"24.12.2015"</f>
        <v>24.12.2015</v>
      </c>
      <c r="O1460" s="3" t="str">
        <f>"62.271,86"</f>
        <v>62.271,86</v>
      </c>
      <c r="P1460" s="4"/>
    </row>
    <row r="1461" spans="2:16" s="19" customFormat="1" ht="72.75" customHeight="1" x14ac:dyDescent="0.25">
      <c r="B1461" s="16">
        <v>1227</v>
      </c>
      <c r="C1461" s="16" t="str">
        <f>"8-15/NOS-54/15"</f>
        <v>8-15/NOS-54/15</v>
      </c>
      <c r="D1461" s="16" t="s">
        <v>16</v>
      </c>
      <c r="E1461" s="16" t="s">
        <v>1250</v>
      </c>
      <c r="F1461" s="16" t="s">
        <v>255</v>
      </c>
      <c r="G1461" s="16" t="str">
        <f>"8-15/NOS-54/15"</f>
        <v>8-15/NOS-54/15</v>
      </c>
      <c r="H1461" s="16" t="str">
        <f t="shared" si="34"/>
        <v>Ugovor - narudžbenica (periodični predmet)</v>
      </c>
      <c r="I1461" s="16" t="s">
        <v>19</v>
      </c>
      <c r="J1461" s="17" t="str">
        <f>"8.000,00"</f>
        <v>8.000,00</v>
      </c>
      <c r="K1461" s="16" t="s">
        <v>1381</v>
      </c>
      <c r="L1461" s="16" t="s">
        <v>717</v>
      </c>
      <c r="M1461" s="16" t="s">
        <v>84</v>
      </c>
      <c r="N1461" s="16" t="str">
        <f>"25.11.2015"</f>
        <v>25.11.2015</v>
      </c>
      <c r="O1461" s="17" t="str">
        <f>"8.720,00"</f>
        <v>8.720,00</v>
      </c>
      <c r="P1461" s="16" t="s">
        <v>699</v>
      </c>
    </row>
    <row r="1462" spans="2:16" ht="85.5" customHeight="1" x14ac:dyDescent="0.25">
      <c r="B1462" s="2">
        <v>1228</v>
      </c>
      <c r="C1462" s="2" t="str">
        <f>"16-15/NOS-24/15"</f>
        <v>16-15/NOS-24/15</v>
      </c>
      <c r="D1462" s="2" t="s">
        <v>1313</v>
      </c>
      <c r="E1462" s="2" t="s">
        <v>1250</v>
      </c>
      <c r="F1462" s="2" t="s">
        <v>305</v>
      </c>
      <c r="G1462" s="2" t="str">
        <f>"16-15/NOS-24/15"</f>
        <v>16-15/NOS-24/15</v>
      </c>
      <c r="H1462" s="2" t="str">
        <f t="shared" si="34"/>
        <v>Ugovor - narudžbenica (periodični predmet)</v>
      </c>
      <c r="I1462" s="2" t="s">
        <v>19</v>
      </c>
      <c r="J1462" s="3" t="str">
        <f>"110.570,00"</f>
        <v>110.570,00</v>
      </c>
      <c r="K1462" s="2" t="s">
        <v>1381</v>
      </c>
      <c r="L1462" s="2" t="s">
        <v>717</v>
      </c>
      <c r="M1462" s="2" t="s">
        <v>218</v>
      </c>
      <c r="N1462" s="2" t="str">
        <f>"30.12.2015"</f>
        <v>30.12.2015</v>
      </c>
      <c r="O1462" s="3" t="str">
        <f>"86.120,00"</f>
        <v>86.120,00</v>
      </c>
      <c r="P1462" s="4"/>
    </row>
    <row r="1463" spans="2:16" s="15" customFormat="1" ht="63" x14ac:dyDescent="0.25">
      <c r="B1463" s="12">
        <v>1230</v>
      </c>
      <c r="C1463" s="12" t="str">
        <f>"9-15/NOS-19/15"</f>
        <v>9-15/NOS-19/15</v>
      </c>
      <c r="D1463" s="12" t="s">
        <v>16</v>
      </c>
      <c r="E1463" s="12" t="s">
        <v>1250</v>
      </c>
      <c r="F1463" s="12" t="s">
        <v>277</v>
      </c>
      <c r="G1463" s="12" t="str">
        <f>"9-15/NOS-19/15"</f>
        <v>9-15/NOS-19/15</v>
      </c>
      <c r="H1463" s="12" t="str">
        <f t="shared" si="34"/>
        <v>Ugovor - narudžbenica (periodični predmet)</v>
      </c>
      <c r="I1463" s="12" t="s">
        <v>19</v>
      </c>
      <c r="J1463" s="13" t="str">
        <f>"2.693,18"</f>
        <v>2.693,18</v>
      </c>
      <c r="K1463" s="12" t="s">
        <v>1381</v>
      </c>
      <c r="L1463" s="12" t="s">
        <v>717</v>
      </c>
      <c r="M1463" s="12" t="s">
        <v>44</v>
      </c>
      <c r="N1463" s="12" t="str">
        <f>"26.11.2015"</f>
        <v>26.11.2015</v>
      </c>
      <c r="O1463" s="13" t="str">
        <f>"2.693,18"</f>
        <v>2.693,18</v>
      </c>
      <c r="P1463" s="14"/>
    </row>
    <row r="1464" spans="2:16" ht="63" x14ac:dyDescent="0.25">
      <c r="B1464" s="2">
        <v>1231</v>
      </c>
      <c r="C1464" s="2" t="str">
        <f>"40-15/NOS-29/12"</f>
        <v>40-15/NOS-29/12</v>
      </c>
      <c r="D1464" s="2" t="s">
        <v>85</v>
      </c>
      <c r="E1464" s="2" t="s">
        <v>1250</v>
      </c>
      <c r="F1464" s="2" t="s">
        <v>1269</v>
      </c>
      <c r="G1464" s="2" t="str">
        <f>"40-15/NOS-29/12"</f>
        <v>40-15/NOS-29/12</v>
      </c>
      <c r="H1464" s="2" t="str">
        <f t="shared" si="34"/>
        <v>Ugovor - narudžbenica (periodični predmet)</v>
      </c>
      <c r="I1464" s="2" t="s">
        <v>19</v>
      </c>
      <c r="J1464" s="3" t="str">
        <f>"90.467,20"</f>
        <v>90.467,20</v>
      </c>
      <c r="K1464" s="2" t="s">
        <v>1176</v>
      </c>
      <c r="L1464" s="2" t="s">
        <v>717</v>
      </c>
      <c r="M1464" s="2" t="s">
        <v>1201</v>
      </c>
      <c r="N1464" s="2" t="str">
        <f>"04.01.2016"</f>
        <v>04.01.2016</v>
      </c>
      <c r="O1464" s="3" t="str">
        <f>"28.027,10"</f>
        <v>28.027,10</v>
      </c>
      <c r="P1464" s="4"/>
    </row>
    <row r="1465" spans="2:16" ht="63" x14ac:dyDescent="0.25">
      <c r="B1465" s="2">
        <v>1232</v>
      </c>
      <c r="C1465" s="2" t="str">
        <f>"12-15/NOS-118/14"</f>
        <v>12-15/NOS-118/14</v>
      </c>
      <c r="D1465" s="2" t="s">
        <v>85</v>
      </c>
      <c r="E1465" s="2" t="s">
        <v>1250</v>
      </c>
      <c r="F1465" s="2" t="s">
        <v>86</v>
      </c>
      <c r="G1465" s="2" t="str">
        <f>"12-15/NOS-118/14"</f>
        <v>12-15/NOS-118/14</v>
      </c>
      <c r="H1465" s="2" t="str">
        <f t="shared" si="34"/>
        <v>Ugovor - narudžbenica (periodični predmet)</v>
      </c>
      <c r="I1465" s="2" t="s">
        <v>19</v>
      </c>
      <c r="J1465" s="3" t="str">
        <f>"118.509,00"</f>
        <v>118.509,00</v>
      </c>
      <c r="K1465" s="2" t="s">
        <v>1176</v>
      </c>
      <c r="L1465" s="2" t="s">
        <v>717</v>
      </c>
      <c r="M1465" s="2" t="s">
        <v>84</v>
      </c>
      <c r="N1465" s="2" t="str">
        <f>"13.01.2016"</f>
        <v>13.01.2016</v>
      </c>
      <c r="O1465" s="3" t="str">
        <f>"118.509,00"</f>
        <v>118.509,00</v>
      </c>
      <c r="P1465" s="4"/>
    </row>
    <row r="1466" spans="2:16" ht="63" x14ac:dyDescent="0.25">
      <c r="B1466" s="2">
        <v>1233</v>
      </c>
      <c r="C1466" s="2" t="str">
        <f>"4-15/NOS-119/15"</f>
        <v>4-15/NOS-119/15</v>
      </c>
      <c r="D1466" s="2" t="s">
        <v>16</v>
      </c>
      <c r="E1466" s="2" t="s">
        <v>1250</v>
      </c>
      <c r="F1466" s="2" t="s">
        <v>455</v>
      </c>
      <c r="G1466" s="2" t="str">
        <f>"4-15/NOS-119/15"</f>
        <v>4-15/NOS-119/15</v>
      </c>
      <c r="H1466" s="2" t="str">
        <f t="shared" si="34"/>
        <v>Ugovor - narudžbenica (periodični predmet)</v>
      </c>
      <c r="I1466" s="2" t="s">
        <v>19</v>
      </c>
      <c r="J1466" s="3" t="str">
        <f>"36.708,76"</f>
        <v>36.708,76</v>
      </c>
      <c r="K1466" s="2" t="s">
        <v>1176</v>
      </c>
      <c r="L1466" s="2" t="s">
        <v>717</v>
      </c>
      <c r="M1466" s="2" t="s">
        <v>458</v>
      </c>
      <c r="N1466" s="2" t="str">
        <f>"30.12.2015"</f>
        <v>30.12.2015</v>
      </c>
      <c r="O1466" s="3" t="str">
        <f>"27.324,82"</f>
        <v>27.324,82</v>
      </c>
      <c r="P1466" s="4"/>
    </row>
    <row r="1467" spans="2:16" ht="63" x14ac:dyDescent="0.25">
      <c r="B1467" s="2">
        <v>1234</v>
      </c>
      <c r="C1467" s="2" t="str">
        <f>"9-15/NOS-209/13"</f>
        <v>9-15/NOS-209/13</v>
      </c>
      <c r="D1467" s="2" t="s">
        <v>16</v>
      </c>
      <c r="E1467" s="2" t="s">
        <v>1250</v>
      </c>
      <c r="F1467" s="2" t="s">
        <v>1296</v>
      </c>
      <c r="G1467" s="2" t="str">
        <f>"9-15/NOS-209/13"</f>
        <v>9-15/NOS-209/13</v>
      </c>
      <c r="H1467" s="2" t="str">
        <f t="shared" si="34"/>
        <v>Ugovor - narudžbenica (periodični predmet)</v>
      </c>
      <c r="I1467" s="2" t="s">
        <v>19</v>
      </c>
      <c r="J1467" s="3" t="str">
        <f>"3.101,34"</f>
        <v>3.101,34</v>
      </c>
      <c r="K1467" s="2" t="s">
        <v>1176</v>
      </c>
      <c r="L1467" s="2" t="s">
        <v>717</v>
      </c>
      <c r="M1467" s="2" t="s">
        <v>111</v>
      </c>
      <c r="N1467" s="2" t="str">
        <f>"04.01.2016"</f>
        <v>04.01.2016</v>
      </c>
      <c r="O1467" s="3" t="str">
        <f>"1.028,34"</f>
        <v>1.028,34</v>
      </c>
      <c r="P1467" s="4"/>
    </row>
    <row r="1468" spans="2:16" ht="63" x14ac:dyDescent="0.25">
      <c r="B1468" s="2">
        <v>1235</v>
      </c>
      <c r="C1468" s="2" t="str">
        <f>"6-15/NOS-210-D/13"</f>
        <v>6-15/NOS-210-D/13</v>
      </c>
      <c r="D1468" s="2" t="s">
        <v>85</v>
      </c>
      <c r="E1468" s="2" t="s">
        <v>1250</v>
      </c>
      <c r="F1468" s="2" t="s">
        <v>1294</v>
      </c>
      <c r="G1468" s="2" t="str">
        <f>"6-15/NOS-210-D/13"</f>
        <v>6-15/NOS-210-D/13</v>
      </c>
      <c r="H1468" s="2" t="str">
        <f t="shared" si="34"/>
        <v>Ugovor - narudžbenica (periodični predmet)</v>
      </c>
      <c r="I1468" s="2" t="s">
        <v>19</v>
      </c>
      <c r="J1468" s="3" t="str">
        <f>"11.680,00"</f>
        <v>11.680,00</v>
      </c>
      <c r="K1468" s="2" t="s">
        <v>1176</v>
      </c>
      <c r="L1468" s="2" t="s">
        <v>717</v>
      </c>
      <c r="M1468" s="2" t="s">
        <v>1293</v>
      </c>
      <c r="N1468" s="2" t="str">
        <f>"07.12.2015"</f>
        <v>07.12.2015</v>
      </c>
      <c r="O1468" s="3" t="str">
        <f>"10.950,00"</f>
        <v>10.950,00</v>
      </c>
      <c r="P1468" s="4"/>
    </row>
    <row r="1469" spans="2:16" ht="63" x14ac:dyDescent="0.25">
      <c r="B1469" s="2">
        <v>1236</v>
      </c>
      <c r="C1469" s="2" t="str">
        <f>"10-15/NOS-35/15"</f>
        <v>10-15/NOS-35/15</v>
      </c>
      <c r="D1469" s="2" t="s">
        <v>85</v>
      </c>
      <c r="E1469" s="2" t="s">
        <v>1250</v>
      </c>
      <c r="F1469" s="2" t="s">
        <v>243</v>
      </c>
      <c r="G1469" s="2" t="str">
        <f>"10-15/NOS-35/15"</f>
        <v>10-15/NOS-35/15</v>
      </c>
      <c r="H1469" s="2" t="str">
        <f t="shared" si="34"/>
        <v>Ugovor - narudžbenica (periodični predmet)</v>
      </c>
      <c r="I1469" s="2" t="s">
        <v>19</v>
      </c>
      <c r="J1469" s="3" t="str">
        <f>"3.984,24"</f>
        <v>3.984,24</v>
      </c>
      <c r="K1469" s="2" t="s">
        <v>1394</v>
      </c>
      <c r="L1469" s="2" t="s">
        <v>717</v>
      </c>
      <c r="M1469" s="2" t="s">
        <v>246</v>
      </c>
      <c r="N1469" s="2" t="str">
        <f>"02.12.2015"</f>
        <v>02.12.2015</v>
      </c>
      <c r="O1469" s="3" t="str">
        <f>"3.984,24"</f>
        <v>3.984,24</v>
      </c>
      <c r="P1469" s="4"/>
    </row>
    <row r="1470" spans="2:16" ht="63" x14ac:dyDescent="0.25">
      <c r="B1470" s="2">
        <v>1237</v>
      </c>
      <c r="C1470" s="2" t="str">
        <f>"26-15/NOS-97/14"</f>
        <v>26-15/NOS-97/14</v>
      </c>
      <c r="D1470" s="2" t="s">
        <v>16</v>
      </c>
      <c r="E1470" s="2" t="s">
        <v>1250</v>
      </c>
      <c r="F1470" s="2" t="s">
        <v>1285</v>
      </c>
      <c r="G1470" s="2" t="str">
        <f>"26-15/NOS-97/14"</f>
        <v>26-15/NOS-97/14</v>
      </c>
      <c r="H1470" s="2" t="str">
        <f t="shared" si="34"/>
        <v>Ugovor - narudžbenica (periodični predmet)</v>
      </c>
      <c r="I1470" s="2" t="s">
        <v>19</v>
      </c>
      <c r="J1470" s="3" t="str">
        <f>"16.933,95"</f>
        <v>16.933,95</v>
      </c>
      <c r="K1470" s="2" t="s">
        <v>1392</v>
      </c>
      <c r="L1470" s="2" t="s">
        <v>1388</v>
      </c>
      <c r="M1470" s="2" t="s">
        <v>165</v>
      </c>
      <c r="N1470" s="2" t="str">
        <f>"17.12.2015"</f>
        <v>17.12.2015</v>
      </c>
      <c r="O1470" s="3" t="str">
        <f>"16.800,66"</f>
        <v>16.800,66</v>
      </c>
      <c r="P1470" s="2"/>
    </row>
    <row r="1471" spans="2:16" ht="63" x14ac:dyDescent="0.25">
      <c r="B1471" s="2">
        <v>1238</v>
      </c>
      <c r="C1471" s="2" t="str">
        <f>"6-15/NOS-67/15"</f>
        <v>6-15/NOS-67/15</v>
      </c>
      <c r="D1471" s="2" t="s">
        <v>85</v>
      </c>
      <c r="E1471" s="2" t="s">
        <v>1250</v>
      </c>
      <c r="F1471" s="2" t="s">
        <v>511</v>
      </c>
      <c r="G1471" s="2" t="str">
        <f>"6-15/NOS-67/15"</f>
        <v>6-15/NOS-67/15</v>
      </c>
      <c r="H1471" s="2" t="str">
        <f t="shared" si="34"/>
        <v>Ugovor - narudžbenica (periodični predmet)</v>
      </c>
      <c r="I1471" s="2" t="s">
        <v>19</v>
      </c>
      <c r="J1471" s="3" t="str">
        <f>"688,40"</f>
        <v>688,40</v>
      </c>
      <c r="K1471" s="2" t="s">
        <v>1394</v>
      </c>
      <c r="L1471" s="2" t="s">
        <v>717</v>
      </c>
      <c r="M1471" s="2" t="s">
        <v>512</v>
      </c>
      <c r="N1471" s="2" t="str">
        <f>"16.12.2015"</f>
        <v>16.12.2015</v>
      </c>
      <c r="O1471" s="3" t="str">
        <f>"688,40"</f>
        <v>688,40</v>
      </c>
      <c r="P1471" s="4"/>
    </row>
    <row r="1472" spans="2:16" ht="63" x14ac:dyDescent="0.25">
      <c r="B1472" s="2">
        <v>1239</v>
      </c>
      <c r="C1472" s="2" t="str">
        <f>"24-15/NOS-83/14"</f>
        <v>24-15/NOS-83/14</v>
      </c>
      <c r="D1472" s="2" t="s">
        <v>85</v>
      </c>
      <c r="E1472" s="2" t="s">
        <v>1250</v>
      </c>
      <c r="F1472" s="2" t="s">
        <v>1273</v>
      </c>
      <c r="G1472" s="2" t="str">
        <f>"24-15/NOS-83/14"</f>
        <v>24-15/NOS-83/14</v>
      </c>
      <c r="H1472" s="2" t="str">
        <f t="shared" si="34"/>
        <v>Ugovor - narudžbenica (periodični predmet)</v>
      </c>
      <c r="I1472" s="2" t="s">
        <v>19</v>
      </c>
      <c r="J1472" s="3" t="str">
        <f>"149.016,00"</f>
        <v>149.016,00</v>
      </c>
      <c r="K1472" s="2" t="s">
        <v>1394</v>
      </c>
      <c r="L1472" s="2" t="s">
        <v>1393</v>
      </c>
      <c r="M1472" s="2" t="s">
        <v>754</v>
      </c>
      <c r="N1472" s="2" t="str">
        <f>"07.12.2015"</f>
        <v>07.12.2015</v>
      </c>
      <c r="O1472" s="3" t="str">
        <f>"26.216,00"</f>
        <v>26.216,00</v>
      </c>
      <c r="P1472" s="4"/>
    </row>
    <row r="1473" spans="2:16" s="15" customFormat="1" ht="63" x14ac:dyDescent="0.25">
      <c r="B1473" s="12">
        <v>1240</v>
      </c>
      <c r="C1473" s="12" t="str">
        <f>"15-15/NOS-32/14"</f>
        <v>15-15/NOS-32/14</v>
      </c>
      <c r="D1473" s="12" t="s">
        <v>16</v>
      </c>
      <c r="E1473" s="12" t="s">
        <v>1250</v>
      </c>
      <c r="F1473" s="12" t="s">
        <v>1365</v>
      </c>
      <c r="G1473" s="12" t="str">
        <f>"15-15/NOS-32/14"</f>
        <v>15-15/NOS-32/14</v>
      </c>
      <c r="H1473" s="12" t="str">
        <f t="shared" si="34"/>
        <v>Ugovor - narudžbenica (periodični predmet)</v>
      </c>
      <c r="I1473" s="12" t="s">
        <v>19</v>
      </c>
      <c r="J1473" s="13" t="str">
        <f>"28.548,00"</f>
        <v>28.548,00</v>
      </c>
      <c r="K1473" s="12" t="s">
        <v>1395</v>
      </c>
      <c r="L1473" s="12" t="s">
        <v>717</v>
      </c>
      <c r="M1473" s="12" t="s">
        <v>1366</v>
      </c>
      <c r="N1473" s="12" t="s">
        <v>23</v>
      </c>
      <c r="O1473" s="13" t="str">
        <f>"0,00"</f>
        <v>0,00</v>
      </c>
      <c r="P1473" s="14"/>
    </row>
    <row r="1474" spans="2:16" ht="63" x14ac:dyDescent="0.25">
      <c r="B1474" s="2">
        <v>1241</v>
      </c>
      <c r="C1474" s="2" t="str">
        <f>"4-15/NOS-63-A/15"</f>
        <v>4-15/NOS-63-A/15</v>
      </c>
      <c r="D1474" s="2" t="s">
        <v>16</v>
      </c>
      <c r="E1474" s="2" t="s">
        <v>1250</v>
      </c>
      <c r="F1474" s="2" t="s">
        <v>1338</v>
      </c>
      <c r="G1474" s="2" t="str">
        <f>"4-15/NOS-63-A/15"</f>
        <v>4-15/NOS-63-A/15</v>
      </c>
      <c r="H1474" s="2" t="str">
        <f t="shared" si="34"/>
        <v>Ugovor - narudžbenica (periodični predmet)</v>
      </c>
      <c r="I1474" s="2" t="s">
        <v>19</v>
      </c>
      <c r="J1474" s="3" t="str">
        <f>"627,75"</f>
        <v>627,75</v>
      </c>
      <c r="K1474" s="2" t="s">
        <v>1395</v>
      </c>
      <c r="L1474" s="2" t="s">
        <v>717</v>
      </c>
      <c r="M1474" s="2" t="s">
        <v>165</v>
      </c>
      <c r="N1474" s="2" t="str">
        <f>"21.12.2015"</f>
        <v>21.12.2015</v>
      </c>
      <c r="O1474" s="3" t="str">
        <f>"615,20"</f>
        <v>615,20</v>
      </c>
      <c r="P1474" s="4"/>
    </row>
    <row r="1475" spans="2:16" ht="63" x14ac:dyDescent="0.25">
      <c r="B1475" s="2">
        <v>1242</v>
      </c>
      <c r="C1475" s="2" t="str">
        <f>"7-15/NOS-75-I/15"</f>
        <v>7-15/NOS-75-I/15</v>
      </c>
      <c r="D1475" s="2" t="s">
        <v>16</v>
      </c>
      <c r="E1475" s="2" t="s">
        <v>1250</v>
      </c>
      <c r="F1475" s="2" t="s">
        <v>1337</v>
      </c>
      <c r="G1475" s="2" t="str">
        <f>"7-15/NOS-75-I/15"</f>
        <v>7-15/NOS-75-I/15</v>
      </c>
      <c r="H1475" s="2" t="str">
        <f t="shared" si="34"/>
        <v>Ugovor - narudžbenica (periodični predmet)</v>
      </c>
      <c r="I1475" s="2" t="s">
        <v>19</v>
      </c>
      <c r="J1475" s="3" t="str">
        <f>"109.185,00"</f>
        <v>109.185,00</v>
      </c>
      <c r="K1475" s="2" t="s">
        <v>1395</v>
      </c>
      <c r="L1475" s="2" t="s">
        <v>1393</v>
      </c>
      <c r="M1475" s="2" t="s">
        <v>612</v>
      </c>
      <c r="N1475" s="2" t="str">
        <f>"31.12.2015"</f>
        <v>31.12.2015</v>
      </c>
      <c r="O1475" s="3" t="str">
        <f>"109.185,00"</f>
        <v>109.185,00</v>
      </c>
      <c r="P1475" s="4"/>
    </row>
    <row r="1476" spans="2:16" ht="78.75" x14ac:dyDescent="0.25">
      <c r="B1476" s="2">
        <v>1243</v>
      </c>
      <c r="C1476" s="2" t="str">
        <f>"11-15/NOS-218/13"</f>
        <v>11-15/NOS-218/13</v>
      </c>
      <c r="D1476" s="2" t="s">
        <v>16</v>
      </c>
      <c r="E1476" s="2" t="s">
        <v>1250</v>
      </c>
      <c r="F1476" s="2" t="s">
        <v>1270</v>
      </c>
      <c r="G1476" s="2" t="str">
        <f>"11-15/NOS-218/13"</f>
        <v>11-15/NOS-218/13</v>
      </c>
      <c r="H1476" s="2" t="str">
        <f t="shared" si="34"/>
        <v>Ugovor - narudžbenica (periodični predmet)</v>
      </c>
      <c r="I1476" s="2" t="s">
        <v>19</v>
      </c>
      <c r="J1476" s="3" t="str">
        <f>"1.356,00"</f>
        <v>1.356,00</v>
      </c>
      <c r="K1476" s="2" t="s">
        <v>1395</v>
      </c>
      <c r="L1476" s="2" t="s">
        <v>1393</v>
      </c>
      <c r="M1476" s="2" t="s">
        <v>920</v>
      </c>
      <c r="N1476" s="2" t="str">
        <f>"10.12.2015"</f>
        <v>10.12.2015</v>
      </c>
      <c r="O1476" s="3" t="str">
        <f>"1.356,00"</f>
        <v>1.356,00</v>
      </c>
      <c r="P1476" s="4"/>
    </row>
    <row r="1477" spans="2:16" ht="63" x14ac:dyDescent="0.25">
      <c r="B1477" s="2">
        <v>1244</v>
      </c>
      <c r="C1477" s="2" t="str">
        <f>"5-15/NOS-119/15"</f>
        <v>5-15/NOS-119/15</v>
      </c>
      <c r="D1477" s="2" t="s">
        <v>28</v>
      </c>
      <c r="E1477" s="2" t="s">
        <v>1250</v>
      </c>
      <c r="F1477" s="2" t="s">
        <v>455</v>
      </c>
      <c r="G1477" s="2" t="str">
        <f>"5-15/NOS-119/15"</f>
        <v>5-15/NOS-119/15</v>
      </c>
      <c r="H1477" s="2" t="str">
        <f t="shared" si="34"/>
        <v>Ugovor - narudžbenica (periodični predmet)</v>
      </c>
      <c r="I1477" s="2" t="s">
        <v>19</v>
      </c>
      <c r="J1477" s="3" t="str">
        <f>"195.028,07"</f>
        <v>195.028,07</v>
      </c>
      <c r="K1477" s="2" t="s">
        <v>1179</v>
      </c>
      <c r="L1477" s="2" t="s">
        <v>1393</v>
      </c>
      <c r="M1477" s="2" t="s">
        <v>458</v>
      </c>
      <c r="N1477" s="2" t="str">
        <f>"15.12.2015"</f>
        <v>15.12.2015</v>
      </c>
      <c r="O1477" s="3" t="str">
        <f>"103.288,54"</f>
        <v>103.288,54</v>
      </c>
      <c r="P1477" s="4"/>
    </row>
    <row r="1478" spans="2:16" ht="63" x14ac:dyDescent="0.25">
      <c r="B1478" s="2">
        <v>1245</v>
      </c>
      <c r="C1478" s="2" t="str">
        <f>"6-15/NOS-167/13"</f>
        <v>6-15/NOS-167/13</v>
      </c>
      <c r="D1478" s="2" t="s">
        <v>28</v>
      </c>
      <c r="E1478" s="2" t="s">
        <v>1250</v>
      </c>
      <c r="F1478" s="2" t="s">
        <v>1377</v>
      </c>
      <c r="G1478" s="2" t="str">
        <f>"6-15/NOS-167/13"</f>
        <v>6-15/NOS-167/13</v>
      </c>
      <c r="H1478" s="2" t="str">
        <f t="shared" si="34"/>
        <v>Ugovor - narudžbenica (periodični predmet)</v>
      </c>
      <c r="I1478" s="2" t="s">
        <v>19</v>
      </c>
      <c r="J1478" s="3" t="str">
        <f>"1.150,00"</f>
        <v>1.150,00</v>
      </c>
      <c r="K1478" s="2" t="s">
        <v>1179</v>
      </c>
      <c r="L1478" s="2" t="s">
        <v>1393</v>
      </c>
      <c r="M1478" s="2" t="s">
        <v>568</v>
      </c>
      <c r="N1478" s="2" t="str">
        <f>"16.12.2015"</f>
        <v>16.12.2015</v>
      </c>
      <c r="O1478" s="3" t="str">
        <f>"1.150,00"</f>
        <v>1.150,00</v>
      </c>
      <c r="P1478" s="4"/>
    </row>
    <row r="1479" spans="2:16" ht="63" x14ac:dyDescent="0.25">
      <c r="B1479" s="2">
        <v>1246</v>
      </c>
      <c r="C1479" s="2" t="str">
        <f>"5-15/NOS-210-C/13"</f>
        <v>5-15/NOS-210-C/13</v>
      </c>
      <c r="D1479" s="2" t="s">
        <v>85</v>
      </c>
      <c r="E1479" s="2" t="s">
        <v>1250</v>
      </c>
      <c r="F1479" s="2" t="s">
        <v>1294</v>
      </c>
      <c r="G1479" s="2" t="str">
        <f>"5-15/NOS-210-C/13"</f>
        <v>5-15/NOS-210-C/13</v>
      </c>
      <c r="H1479" s="2" t="str">
        <f t="shared" si="34"/>
        <v>Ugovor - narudžbenica (periodični predmet)</v>
      </c>
      <c r="I1479" s="2" t="s">
        <v>19</v>
      </c>
      <c r="J1479" s="3" t="str">
        <f>"6.243,50"</f>
        <v>6.243,50</v>
      </c>
      <c r="K1479" s="2" t="s">
        <v>1179</v>
      </c>
      <c r="L1479" s="2" t="s">
        <v>1393</v>
      </c>
      <c r="M1479" s="2" t="s">
        <v>1335</v>
      </c>
      <c r="N1479" s="2" t="str">
        <f>"08.01.2016"</f>
        <v>08.01.2016</v>
      </c>
      <c r="O1479" s="3" t="str">
        <f>"6.243,50"</f>
        <v>6.243,50</v>
      </c>
      <c r="P1479" s="4"/>
    </row>
    <row r="1480" spans="2:16" s="15" customFormat="1" ht="66.75" customHeight="1" x14ac:dyDescent="0.25">
      <c r="B1480" s="32">
        <v>1247</v>
      </c>
      <c r="C1480" s="32" t="str">
        <f>"7-15/NOS-97-A/15"</f>
        <v>7-15/NOS-97-A/15</v>
      </c>
      <c r="D1480" s="32" t="s">
        <v>16</v>
      </c>
      <c r="E1480" s="32" t="s">
        <v>1250</v>
      </c>
      <c r="F1480" s="32" t="s">
        <v>1271</v>
      </c>
      <c r="G1480" s="32" t="str">
        <f>"7-15/NOS-97-A/15"</f>
        <v>7-15/NOS-97-A/15</v>
      </c>
      <c r="H1480" s="32" t="str">
        <f t="shared" si="34"/>
        <v>Ugovor - narudžbenica (periodični predmet)</v>
      </c>
      <c r="I1480" s="32" t="s">
        <v>19</v>
      </c>
      <c r="J1480" s="40" t="str">
        <f>"3.157,70"</f>
        <v>3.157,70</v>
      </c>
      <c r="K1480" s="32" t="s">
        <v>1179</v>
      </c>
      <c r="L1480" s="32" t="s">
        <v>1393</v>
      </c>
      <c r="M1480" s="32" t="s">
        <v>44</v>
      </c>
      <c r="N1480" s="32" t="str">
        <f>"09.12.2015"</f>
        <v>09.12.2015</v>
      </c>
      <c r="O1480" s="34">
        <v>3104.49</v>
      </c>
      <c r="P1480" s="20"/>
    </row>
    <row r="1481" spans="2:16" s="15" customFormat="1" ht="15.75" hidden="1" customHeight="1" x14ac:dyDescent="0.25">
      <c r="B1481" s="33"/>
      <c r="C1481" s="33"/>
      <c r="D1481" s="33"/>
      <c r="E1481" s="33"/>
      <c r="F1481" s="33"/>
      <c r="G1481" s="33"/>
      <c r="H1481" s="33"/>
      <c r="I1481" s="33"/>
      <c r="J1481" s="41"/>
      <c r="K1481" s="33"/>
      <c r="L1481" s="33"/>
      <c r="M1481" s="33"/>
      <c r="N1481" s="33"/>
      <c r="O1481" s="35"/>
      <c r="P1481" s="21"/>
    </row>
    <row r="1482" spans="2:16" s="15" customFormat="1" ht="63" x14ac:dyDescent="0.25">
      <c r="B1482" s="12">
        <v>1248</v>
      </c>
      <c r="C1482" s="12" t="str">
        <f>"43-15/NOS-216-A/13"</f>
        <v>43-15/NOS-216-A/13</v>
      </c>
      <c r="D1482" s="12" t="s">
        <v>16</v>
      </c>
      <c r="E1482" s="12" t="s">
        <v>1250</v>
      </c>
      <c r="F1482" s="12" t="s">
        <v>1355</v>
      </c>
      <c r="G1482" s="12" t="str">
        <f>"43-15/NOS-216-A/13"</f>
        <v>43-15/NOS-216-A/13</v>
      </c>
      <c r="H1482" s="12" t="str">
        <f t="shared" ref="H1482:H1513" si="35">"Ugovor - narudžbenica (periodični predmet)"</f>
        <v>Ugovor - narudžbenica (periodični predmet)</v>
      </c>
      <c r="I1482" s="12" t="s">
        <v>19</v>
      </c>
      <c r="J1482" s="13" t="str">
        <f>"3.728,75"</f>
        <v>3.728,75</v>
      </c>
      <c r="K1482" s="12" t="s">
        <v>1179</v>
      </c>
      <c r="L1482" s="12" t="s">
        <v>1179</v>
      </c>
      <c r="M1482" s="12" t="s">
        <v>358</v>
      </c>
      <c r="N1482" s="12" t="s">
        <v>23</v>
      </c>
      <c r="O1482" s="13" t="str">
        <f>"0,00"</f>
        <v>0,00</v>
      </c>
      <c r="P1482" s="14"/>
    </row>
    <row r="1483" spans="2:16" ht="63" x14ac:dyDescent="0.25">
      <c r="B1483" s="2">
        <v>1249</v>
      </c>
      <c r="C1483" s="2" t="str">
        <f>"2-15/NOS-75-D/15"</f>
        <v>2-15/NOS-75-D/15</v>
      </c>
      <c r="D1483" s="2" t="s">
        <v>16</v>
      </c>
      <c r="E1483" s="2" t="s">
        <v>1250</v>
      </c>
      <c r="F1483" s="2" t="s">
        <v>1337</v>
      </c>
      <c r="G1483" s="2" t="str">
        <f>"2-15/NOS-75-D/15"</f>
        <v>2-15/NOS-75-D/15</v>
      </c>
      <c r="H1483" s="2" t="str">
        <f t="shared" si="35"/>
        <v>Ugovor - narudžbenica (periodični predmet)</v>
      </c>
      <c r="I1483" s="2" t="s">
        <v>19</v>
      </c>
      <c r="J1483" s="3" t="str">
        <f>"9.970,00"</f>
        <v>9.970,00</v>
      </c>
      <c r="K1483" s="2" t="s">
        <v>1179</v>
      </c>
      <c r="L1483" s="2" t="s">
        <v>1393</v>
      </c>
      <c r="M1483" s="2" t="s">
        <v>612</v>
      </c>
      <c r="N1483" s="2" t="str">
        <f>"17.12.2015"</f>
        <v>17.12.2015</v>
      </c>
      <c r="O1483" s="3" t="str">
        <f>"7.200,00"</f>
        <v>7.200,00</v>
      </c>
      <c r="P1483" s="4"/>
    </row>
    <row r="1484" spans="2:16" ht="63" x14ac:dyDescent="0.25">
      <c r="B1484" s="2">
        <v>1250</v>
      </c>
      <c r="C1484" s="2" t="str">
        <f>"15-15/NOS-122/14"</f>
        <v>15-15/NOS-122/14</v>
      </c>
      <c r="D1484" s="2" t="s">
        <v>16</v>
      </c>
      <c r="E1484" s="2" t="s">
        <v>1250</v>
      </c>
      <c r="F1484" s="2" t="s">
        <v>58</v>
      </c>
      <c r="G1484" s="2" t="str">
        <f>"15-15/NOS-122/14"</f>
        <v>15-15/NOS-122/14</v>
      </c>
      <c r="H1484" s="2" t="str">
        <f t="shared" si="35"/>
        <v>Ugovor - narudžbenica (periodični predmet)</v>
      </c>
      <c r="I1484" s="2" t="s">
        <v>19</v>
      </c>
      <c r="J1484" s="3" t="str">
        <f>"3.460,00"</f>
        <v>3.460,00</v>
      </c>
      <c r="K1484" s="2" t="s">
        <v>1179</v>
      </c>
      <c r="L1484" s="2" t="s">
        <v>1393</v>
      </c>
      <c r="M1484" s="2" t="s">
        <v>63</v>
      </c>
      <c r="N1484" s="2" t="str">
        <f>"16.12.2015"</f>
        <v>16.12.2015</v>
      </c>
      <c r="O1484" s="3" t="str">
        <f>"3.460,00"</f>
        <v>3.460,00</v>
      </c>
      <c r="P1484" s="4"/>
    </row>
    <row r="1485" spans="2:16" ht="63" x14ac:dyDescent="0.25">
      <c r="B1485" s="2">
        <v>1251</v>
      </c>
      <c r="C1485" s="2" t="str">
        <f>"31-15/NOS-89/14"</f>
        <v>31-15/NOS-89/14</v>
      </c>
      <c r="D1485" s="2" t="s">
        <v>16</v>
      </c>
      <c r="E1485" s="2" t="s">
        <v>1250</v>
      </c>
      <c r="F1485" s="2" t="s">
        <v>1277</v>
      </c>
      <c r="G1485" s="2" t="str">
        <f>"31-15/NOS-89/14"</f>
        <v>31-15/NOS-89/14</v>
      </c>
      <c r="H1485" s="2" t="str">
        <f t="shared" si="35"/>
        <v>Ugovor - narudžbenica (periodični predmet)</v>
      </c>
      <c r="I1485" s="2" t="s">
        <v>19</v>
      </c>
      <c r="J1485" s="3" t="str">
        <f>"7.635,30"</f>
        <v>7.635,30</v>
      </c>
      <c r="K1485" s="2" t="s">
        <v>1179</v>
      </c>
      <c r="L1485" s="2" t="s">
        <v>1393</v>
      </c>
      <c r="M1485" s="2" t="s">
        <v>868</v>
      </c>
      <c r="N1485" s="2" t="str">
        <f>"16.12.2015"</f>
        <v>16.12.2015</v>
      </c>
      <c r="O1485" s="3" t="str">
        <f>"7.635,30"</f>
        <v>7.635,30</v>
      </c>
      <c r="P1485" s="4"/>
    </row>
    <row r="1486" spans="2:16" ht="63" x14ac:dyDescent="0.25">
      <c r="B1486" s="2">
        <v>1252</v>
      </c>
      <c r="C1486" s="2" t="str">
        <f>"6-15/NOS-93/15"</f>
        <v>6-15/NOS-93/15</v>
      </c>
      <c r="D1486" s="2" t="s">
        <v>28</v>
      </c>
      <c r="E1486" s="2" t="s">
        <v>1250</v>
      </c>
      <c r="F1486" s="2" t="s">
        <v>543</v>
      </c>
      <c r="G1486" s="2" t="str">
        <f>"6-15/NOS-93/15"</f>
        <v>6-15/NOS-93/15</v>
      </c>
      <c r="H1486" s="2" t="str">
        <f t="shared" si="35"/>
        <v>Ugovor - narudžbenica (periodični predmet)</v>
      </c>
      <c r="I1486" s="2" t="s">
        <v>19</v>
      </c>
      <c r="J1486" s="3" t="str">
        <f>"28.743,38"</f>
        <v>28.743,38</v>
      </c>
      <c r="K1486" s="2" t="s">
        <v>1179</v>
      </c>
      <c r="L1486" s="2" t="s">
        <v>1393</v>
      </c>
      <c r="M1486" s="2" t="s">
        <v>44</v>
      </c>
      <c r="N1486" s="2" t="str">
        <f>"12.01.2016"</f>
        <v>12.01.2016</v>
      </c>
      <c r="O1486" s="3" t="str">
        <f>"14.651,25"</f>
        <v>14.651,25</v>
      </c>
      <c r="P1486" s="4"/>
    </row>
    <row r="1487" spans="2:16" ht="63" x14ac:dyDescent="0.25">
      <c r="B1487" s="2">
        <v>1253</v>
      </c>
      <c r="C1487" s="2" t="str">
        <f>"18-15/NOS-24/15"</f>
        <v>18-15/NOS-24/15</v>
      </c>
      <c r="D1487" s="2" t="s">
        <v>260</v>
      </c>
      <c r="E1487" s="2" t="s">
        <v>1250</v>
      </c>
      <c r="F1487" s="2" t="s">
        <v>305</v>
      </c>
      <c r="G1487" s="2" t="str">
        <f>"18-15/NOS-24/15"</f>
        <v>18-15/NOS-24/15</v>
      </c>
      <c r="H1487" s="2" t="str">
        <f t="shared" si="35"/>
        <v>Ugovor - narudžbenica (periodični predmet)</v>
      </c>
      <c r="I1487" s="2" t="s">
        <v>19</v>
      </c>
      <c r="J1487" s="3" t="str">
        <f>"54.292,50"</f>
        <v>54.292,50</v>
      </c>
      <c r="K1487" s="2" t="s">
        <v>1179</v>
      </c>
      <c r="L1487" s="2" t="s">
        <v>1393</v>
      </c>
      <c r="M1487" s="2" t="s">
        <v>218</v>
      </c>
      <c r="N1487" s="2" t="str">
        <f>"15.01.2016"</f>
        <v>15.01.2016</v>
      </c>
      <c r="O1487" s="3" t="str">
        <f>"46.857,50"</f>
        <v>46.857,50</v>
      </c>
      <c r="P1487" s="4"/>
    </row>
    <row r="1488" spans="2:16" ht="63" x14ac:dyDescent="0.25">
      <c r="B1488" s="2">
        <v>1254</v>
      </c>
      <c r="C1488" s="2" t="str">
        <f>"58-15/NOS-21/14"</f>
        <v>58-15/NOS-21/14</v>
      </c>
      <c r="D1488" s="2" t="s">
        <v>16</v>
      </c>
      <c r="E1488" s="2" t="s">
        <v>1250</v>
      </c>
      <c r="F1488" s="2" t="s">
        <v>1349</v>
      </c>
      <c r="G1488" s="2" t="str">
        <f>"58-15/NOS-21/14"</f>
        <v>58-15/NOS-21/14</v>
      </c>
      <c r="H1488" s="2" t="str">
        <f t="shared" si="35"/>
        <v>Ugovor - narudžbenica (periodični predmet)</v>
      </c>
      <c r="I1488" s="2" t="s">
        <v>19</v>
      </c>
      <c r="J1488" s="3" t="str">
        <f>"697,00"</f>
        <v>697,00</v>
      </c>
      <c r="K1488" s="2" t="s">
        <v>1179</v>
      </c>
      <c r="L1488" s="2" t="s">
        <v>1213</v>
      </c>
      <c r="M1488" s="2" t="s">
        <v>944</v>
      </c>
      <c r="N1488" s="2" t="str">
        <f>"23.11.2015"</f>
        <v>23.11.2015</v>
      </c>
      <c r="O1488" s="3" t="str">
        <f>"498,00"</f>
        <v>498,00</v>
      </c>
      <c r="P1488" s="4"/>
    </row>
    <row r="1489" spans="2:16" ht="63" x14ac:dyDescent="0.25">
      <c r="B1489" s="2">
        <v>1255</v>
      </c>
      <c r="C1489" s="2" t="str">
        <f>"10-15/NOS-39/15"</f>
        <v>10-15/NOS-39/15</v>
      </c>
      <c r="D1489" s="2" t="s">
        <v>16</v>
      </c>
      <c r="E1489" s="2" t="s">
        <v>1250</v>
      </c>
      <c r="F1489" s="2" t="s">
        <v>300</v>
      </c>
      <c r="G1489" s="2" t="str">
        <f>"10-15/NOS-39/15"</f>
        <v>10-15/NOS-39/15</v>
      </c>
      <c r="H1489" s="2" t="str">
        <f t="shared" si="35"/>
        <v>Ugovor - narudžbenica (periodični predmet)</v>
      </c>
      <c r="I1489" s="2" t="s">
        <v>19</v>
      </c>
      <c r="J1489" s="3" t="str">
        <f>"1.722,00"</f>
        <v>1.722,00</v>
      </c>
      <c r="K1489" s="2" t="s">
        <v>1179</v>
      </c>
      <c r="L1489" s="2" t="s">
        <v>1213</v>
      </c>
      <c r="M1489" s="2" t="s">
        <v>303</v>
      </c>
      <c r="N1489" s="2" t="s">
        <v>23</v>
      </c>
      <c r="O1489" s="3" t="str">
        <f>"0,00"</f>
        <v>0,00</v>
      </c>
      <c r="P1489" s="4"/>
    </row>
    <row r="1490" spans="2:16" ht="63" x14ac:dyDescent="0.25">
      <c r="B1490" s="2">
        <v>1256</v>
      </c>
      <c r="C1490" s="2" t="str">
        <f>"5-15/NOS-110/15"</f>
        <v>5-15/NOS-110/15</v>
      </c>
      <c r="D1490" s="2" t="s">
        <v>28</v>
      </c>
      <c r="E1490" s="2" t="s">
        <v>1250</v>
      </c>
      <c r="F1490" s="2" t="s">
        <v>463</v>
      </c>
      <c r="G1490" s="2" t="str">
        <f>"5-15/NOS-110/15"</f>
        <v>5-15/NOS-110/15</v>
      </c>
      <c r="H1490" s="2" t="str">
        <f t="shared" si="35"/>
        <v>Ugovor - narudžbenica (periodični predmet)</v>
      </c>
      <c r="I1490" s="2" t="s">
        <v>19</v>
      </c>
      <c r="J1490" s="3" t="str">
        <f>"67.715,56"</f>
        <v>67.715,56</v>
      </c>
      <c r="K1490" s="2" t="s">
        <v>1176</v>
      </c>
      <c r="L1490" s="2" t="s">
        <v>717</v>
      </c>
      <c r="M1490" s="2" t="s">
        <v>44</v>
      </c>
      <c r="N1490" s="2" t="str">
        <f>"14.01.2016"</f>
        <v>14.01.2016</v>
      </c>
      <c r="O1490" s="3" t="str">
        <f>"5.307,67"</f>
        <v>5.307,67</v>
      </c>
      <c r="P1490" s="4"/>
    </row>
    <row r="1491" spans="2:16" ht="63" x14ac:dyDescent="0.25">
      <c r="B1491" s="2">
        <v>1257</v>
      </c>
      <c r="C1491" s="2" t="str">
        <f>"4-15/NOS-70-D/15"</f>
        <v>4-15/NOS-70-D/15</v>
      </c>
      <c r="D1491" s="2" t="s">
        <v>16</v>
      </c>
      <c r="E1491" s="2" t="s">
        <v>1250</v>
      </c>
      <c r="F1491" s="2" t="s">
        <v>1342</v>
      </c>
      <c r="G1491" s="2" t="str">
        <f>"4-15/NOS-70-D/15"</f>
        <v>4-15/NOS-70-D/15</v>
      </c>
      <c r="H1491" s="2" t="str">
        <f t="shared" si="35"/>
        <v>Ugovor - narudžbenica (periodični predmet)</v>
      </c>
      <c r="I1491" s="2" t="s">
        <v>19</v>
      </c>
      <c r="J1491" s="3" t="str">
        <f>"2.680,00"</f>
        <v>2.680,00</v>
      </c>
      <c r="K1491" s="2" t="s">
        <v>1189</v>
      </c>
      <c r="L1491" s="2" t="s">
        <v>1393</v>
      </c>
      <c r="M1491" s="2" t="s">
        <v>644</v>
      </c>
      <c r="N1491" s="2" t="str">
        <f>"19.11.2015"</f>
        <v>19.11.2015</v>
      </c>
      <c r="O1491" s="3" t="str">
        <f>"2.680,00"</f>
        <v>2.680,00</v>
      </c>
      <c r="P1491" s="4"/>
    </row>
    <row r="1492" spans="2:16" ht="63" x14ac:dyDescent="0.25">
      <c r="B1492" s="2">
        <v>1258</v>
      </c>
      <c r="C1492" s="2" t="str">
        <f>"7-15/NOS-75-B/15"</f>
        <v>7-15/NOS-75-B/15</v>
      </c>
      <c r="D1492" s="2" t="s">
        <v>16</v>
      </c>
      <c r="E1492" s="2" t="s">
        <v>1250</v>
      </c>
      <c r="F1492" s="2" t="s">
        <v>1337</v>
      </c>
      <c r="G1492" s="2" t="str">
        <f>"7-15/NOS-75-B/15"</f>
        <v>7-15/NOS-75-B/15</v>
      </c>
      <c r="H1492" s="2" t="str">
        <f t="shared" si="35"/>
        <v>Ugovor - narudžbenica (periodični predmet)</v>
      </c>
      <c r="I1492" s="2" t="s">
        <v>19</v>
      </c>
      <c r="J1492" s="3" t="str">
        <f>"8.000,00"</f>
        <v>8.000,00</v>
      </c>
      <c r="K1492" s="2" t="s">
        <v>1189</v>
      </c>
      <c r="L1492" s="2" t="s">
        <v>1213</v>
      </c>
      <c r="M1492" s="2" t="s">
        <v>612</v>
      </c>
      <c r="N1492" s="2" t="str">
        <f>"21.12.2015"</f>
        <v>21.12.2015</v>
      </c>
      <c r="O1492" s="3" t="str">
        <f>"6.000,00"</f>
        <v>6.000,00</v>
      </c>
      <c r="P1492" s="4"/>
    </row>
    <row r="1493" spans="2:16" ht="63" x14ac:dyDescent="0.25">
      <c r="B1493" s="2">
        <v>1259</v>
      </c>
      <c r="C1493" s="2" t="str">
        <f>"9-15/NOS-75-F/15"</f>
        <v>9-15/NOS-75-F/15</v>
      </c>
      <c r="D1493" s="2" t="s">
        <v>16</v>
      </c>
      <c r="E1493" s="2" t="s">
        <v>1250</v>
      </c>
      <c r="F1493" s="2" t="s">
        <v>1337</v>
      </c>
      <c r="G1493" s="2" t="str">
        <f>"9-15/NOS-75-F/15"</f>
        <v>9-15/NOS-75-F/15</v>
      </c>
      <c r="H1493" s="2" t="str">
        <f t="shared" si="35"/>
        <v>Ugovor - narudžbenica (periodični predmet)</v>
      </c>
      <c r="I1493" s="2" t="s">
        <v>19</v>
      </c>
      <c r="J1493" s="3" t="str">
        <f>"5.900,00"</f>
        <v>5.900,00</v>
      </c>
      <c r="K1493" s="2" t="s">
        <v>1189</v>
      </c>
      <c r="L1493" s="2" t="s">
        <v>1213</v>
      </c>
      <c r="M1493" s="2" t="s">
        <v>218</v>
      </c>
      <c r="N1493" s="2" t="str">
        <f>"16.12.2015"</f>
        <v>16.12.2015</v>
      </c>
      <c r="O1493" s="3" t="str">
        <f>"5.900,00"</f>
        <v>5.900,00</v>
      </c>
      <c r="P1493" s="4"/>
    </row>
    <row r="1494" spans="2:16" ht="63" x14ac:dyDescent="0.25">
      <c r="B1494" s="2">
        <v>1260</v>
      </c>
      <c r="C1494" s="2" t="str">
        <f>"11-15/NOS-75-A/15"</f>
        <v>11-15/NOS-75-A/15</v>
      </c>
      <c r="D1494" s="2" t="s">
        <v>16</v>
      </c>
      <c r="E1494" s="2" t="s">
        <v>1250</v>
      </c>
      <c r="F1494" s="2" t="s">
        <v>1337</v>
      </c>
      <c r="G1494" s="2" t="str">
        <f>"11-15/NOS-75-A/15"</f>
        <v>11-15/NOS-75-A/15</v>
      </c>
      <c r="H1494" s="2" t="str">
        <f t="shared" si="35"/>
        <v>Ugovor - narudžbenica (periodični predmet)</v>
      </c>
      <c r="I1494" s="2" t="s">
        <v>19</v>
      </c>
      <c r="J1494" s="3" t="str">
        <f>"62.365,00"</f>
        <v>62.365,00</v>
      </c>
      <c r="K1494" s="2" t="s">
        <v>1189</v>
      </c>
      <c r="L1494" s="2" t="s">
        <v>1393</v>
      </c>
      <c r="M1494" s="2" t="s">
        <v>218</v>
      </c>
      <c r="N1494" s="2" t="str">
        <f>"12.01.2016"</f>
        <v>12.01.2016</v>
      </c>
      <c r="O1494" s="3" t="str">
        <f>"61.380,00"</f>
        <v>61.380,00</v>
      </c>
      <c r="P1494" s="4"/>
    </row>
    <row r="1495" spans="2:16" ht="63" x14ac:dyDescent="0.25">
      <c r="B1495" s="2">
        <v>1261</v>
      </c>
      <c r="C1495" s="2" t="str">
        <f>"10-15/NOS-90/15"</f>
        <v>10-15/NOS-90/15</v>
      </c>
      <c r="D1495" s="2" t="s">
        <v>16</v>
      </c>
      <c r="E1495" s="2" t="s">
        <v>1250</v>
      </c>
      <c r="F1495" s="2" t="s">
        <v>177</v>
      </c>
      <c r="G1495" s="2" t="str">
        <f>"10-15/NOS-90/15"</f>
        <v>10-15/NOS-90/15</v>
      </c>
      <c r="H1495" s="2" t="str">
        <f t="shared" si="35"/>
        <v>Ugovor - narudžbenica (periodični predmet)</v>
      </c>
      <c r="I1495" s="2" t="s">
        <v>19</v>
      </c>
      <c r="J1495" s="3" t="str">
        <f>"6.955,00"</f>
        <v>6.955,00</v>
      </c>
      <c r="K1495" s="2" t="s">
        <v>1189</v>
      </c>
      <c r="L1495" s="2" t="s">
        <v>1393</v>
      </c>
      <c r="M1495" s="2" t="s">
        <v>89</v>
      </c>
      <c r="N1495" s="2" t="str">
        <f>"17.12.2015"</f>
        <v>17.12.2015</v>
      </c>
      <c r="O1495" s="3" t="str">
        <f>"6.955,00"</f>
        <v>6.955,00</v>
      </c>
      <c r="P1495" s="4"/>
    </row>
    <row r="1496" spans="2:16" ht="63" x14ac:dyDescent="0.25">
      <c r="B1496" s="2">
        <v>1262</v>
      </c>
      <c r="C1496" s="2" t="str">
        <f>"6-15/NOS-97-B/15"</f>
        <v>6-15/NOS-97-B/15</v>
      </c>
      <c r="D1496" s="2" t="s">
        <v>16</v>
      </c>
      <c r="E1496" s="2" t="s">
        <v>1250</v>
      </c>
      <c r="F1496" s="2" t="s">
        <v>1271</v>
      </c>
      <c r="G1496" s="2" t="str">
        <f>"6-15/NOS-97-B/15"</f>
        <v>6-15/NOS-97-B/15</v>
      </c>
      <c r="H1496" s="2" t="str">
        <f t="shared" si="35"/>
        <v>Ugovor - narudžbenica (periodični predmet)</v>
      </c>
      <c r="I1496" s="2" t="s">
        <v>19</v>
      </c>
      <c r="J1496" s="3" t="str">
        <f>"2.976,00"</f>
        <v>2.976,00</v>
      </c>
      <c r="K1496" s="2" t="s">
        <v>1189</v>
      </c>
      <c r="L1496" s="2" t="s">
        <v>1213</v>
      </c>
      <c r="M1496" s="2" t="s">
        <v>84</v>
      </c>
      <c r="N1496" s="2" t="str">
        <f>"03.12.2015"</f>
        <v>03.12.2015</v>
      </c>
      <c r="O1496" s="3" t="str">
        <f>"2.976,00"</f>
        <v>2.976,00</v>
      </c>
      <c r="P1496" s="4"/>
    </row>
    <row r="1497" spans="2:16" ht="63" x14ac:dyDescent="0.25">
      <c r="B1497" s="2">
        <v>1263</v>
      </c>
      <c r="C1497" s="2" t="str">
        <f>"27-15/NOS-97/14"</f>
        <v>27-15/NOS-97/14</v>
      </c>
      <c r="D1497" s="2" t="s">
        <v>16</v>
      </c>
      <c r="E1497" s="2" t="s">
        <v>1250</v>
      </c>
      <c r="F1497" s="2" t="s">
        <v>1285</v>
      </c>
      <c r="G1497" s="2" t="str">
        <f>"27-15/NOS-97/14"</f>
        <v>27-15/NOS-97/14</v>
      </c>
      <c r="H1497" s="2" t="str">
        <f t="shared" si="35"/>
        <v>Ugovor - narudžbenica (periodični predmet)</v>
      </c>
      <c r="I1497" s="2" t="s">
        <v>19</v>
      </c>
      <c r="J1497" s="3" t="str">
        <f>"9.958,00"</f>
        <v>9.958,00</v>
      </c>
      <c r="K1497" s="2" t="s">
        <v>1189</v>
      </c>
      <c r="L1497" s="2" t="s">
        <v>1393</v>
      </c>
      <c r="M1497" s="2" t="s">
        <v>44</v>
      </c>
      <c r="N1497" s="2" t="str">
        <f>"13.01.2016"</f>
        <v>13.01.2016</v>
      </c>
      <c r="O1497" s="3" t="str">
        <f>"9.929,08"</f>
        <v>9.929,08</v>
      </c>
      <c r="P1497" s="2"/>
    </row>
    <row r="1498" spans="2:16" ht="63" x14ac:dyDescent="0.25">
      <c r="B1498" s="2">
        <v>1264</v>
      </c>
      <c r="C1498" s="2" t="str">
        <f>"12-15/NOS-99/14"</f>
        <v>12-15/NOS-99/14</v>
      </c>
      <c r="D1498" s="2" t="s">
        <v>16</v>
      </c>
      <c r="E1498" s="2" t="s">
        <v>1250</v>
      </c>
      <c r="F1498" s="2" t="s">
        <v>31</v>
      </c>
      <c r="G1498" s="2" t="str">
        <f>"12-15/NOS-99/14"</f>
        <v>12-15/NOS-99/14</v>
      </c>
      <c r="H1498" s="2" t="str">
        <f t="shared" si="35"/>
        <v>Ugovor - narudžbenica (periodični predmet)</v>
      </c>
      <c r="I1498" s="2" t="s">
        <v>19</v>
      </c>
      <c r="J1498" s="3" t="str">
        <f>"4.995,00"</f>
        <v>4.995,00</v>
      </c>
      <c r="K1498" s="2" t="s">
        <v>1189</v>
      </c>
      <c r="L1498" s="2" t="s">
        <v>1393</v>
      </c>
      <c r="M1498" s="2" t="s">
        <v>34</v>
      </c>
      <c r="N1498" s="2" t="str">
        <f>"15.12.2015"</f>
        <v>15.12.2015</v>
      </c>
      <c r="O1498" s="3" t="str">
        <f>"4.995,00"</f>
        <v>4.995,00</v>
      </c>
      <c r="P1498" s="4"/>
    </row>
    <row r="1499" spans="2:16" ht="94.5" x14ac:dyDescent="0.25">
      <c r="B1499" s="2">
        <v>1265</v>
      </c>
      <c r="C1499" s="2" t="str">
        <f>"4-15/NOS-206/13"</f>
        <v>4-15/NOS-206/13</v>
      </c>
      <c r="D1499" s="2" t="s">
        <v>16</v>
      </c>
      <c r="E1499" s="2" t="s">
        <v>1250</v>
      </c>
      <c r="F1499" s="2" t="s">
        <v>1306</v>
      </c>
      <c r="G1499" s="2" t="str">
        <f>"4-15/NOS-206/13"</f>
        <v>4-15/NOS-206/13</v>
      </c>
      <c r="H1499" s="2" t="str">
        <f t="shared" si="35"/>
        <v>Ugovor - narudžbenica (periodični predmet)</v>
      </c>
      <c r="I1499" s="2" t="s">
        <v>19</v>
      </c>
      <c r="J1499" s="3" t="str">
        <f>"99.000,00"</f>
        <v>99.000,00</v>
      </c>
      <c r="K1499" s="2" t="s">
        <v>1189</v>
      </c>
      <c r="L1499" s="2" t="s">
        <v>1213</v>
      </c>
      <c r="M1499" s="2" t="s">
        <v>416</v>
      </c>
      <c r="N1499" s="2" t="str">
        <f>"21.12.2015"</f>
        <v>21.12.2015</v>
      </c>
      <c r="O1499" s="3" t="str">
        <f>"99.000,00"</f>
        <v>99.000,00</v>
      </c>
      <c r="P1499" s="4"/>
    </row>
    <row r="1500" spans="2:16" ht="63" x14ac:dyDescent="0.25">
      <c r="B1500" s="2">
        <v>1266</v>
      </c>
      <c r="C1500" s="2" t="str">
        <f>"15-15/NOS-90/14"</f>
        <v>15-15/NOS-90/14</v>
      </c>
      <c r="D1500" s="2" t="s">
        <v>16</v>
      </c>
      <c r="E1500" s="2" t="s">
        <v>1250</v>
      </c>
      <c r="F1500" s="2" t="s">
        <v>1274</v>
      </c>
      <c r="G1500" s="2" t="str">
        <f>"15-15/NOS-90/14"</f>
        <v>15-15/NOS-90/14</v>
      </c>
      <c r="H1500" s="2" t="str">
        <f t="shared" si="35"/>
        <v>Ugovor - narudžbenica (periodični predmet)</v>
      </c>
      <c r="I1500" s="2" t="s">
        <v>19</v>
      </c>
      <c r="J1500" s="3" t="str">
        <f>"36.440,00"</f>
        <v>36.440,00</v>
      </c>
      <c r="K1500" s="2" t="s">
        <v>537</v>
      </c>
      <c r="L1500" s="2" t="s">
        <v>1393</v>
      </c>
      <c r="M1500" s="2" t="s">
        <v>419</v>
      </c>
      <c r="N1500" s="2" t="str">
        <f>"15.12.2015"</f>
        <v>15.12.2015</v>
      </c>
      <c r="O1500" s="3" t="str">
        <f>"35.250,00"</f>
        <v>35.250,00</v>
      </c>
      <c r="P1500" s="2"/>
    </row>
    <row r="1501" spans="2:16" s="15" customFormat="1" ht="63" x14ac:dyDescent="0.25">
      <c r="B1501" s="12">
        <v>1267</v>
      </c>
      <c r="C1501" s="12" t="str">
        <f>"9-15/NOS-70-A/15"</f>
        <v>9-15/NOS-70-A/15</v>
      </c>
      <c r="D1501" s="12" t="s">
        <v>16</v>
      </c>
      <c r="E1501" s="12" t="s">
        <v>1250</v>
      </c>
      <c r="F1501" s="12" t="s">
        <v>1342</v>
      </c>
      <c r="G1501" s="12" t="str">
        <f>"9-15/NOS-70-A/15"</f>
        <v>9-15/NOS-70-A/15</v>
      </c>
      <c r="H1501" s="12" t="str">
        <f t="shared" si="35"/>
        <v>Ugovor - narudžbenica (periodični predmet)</v>
      </c>
      <c r="I1501" s="12" t="s">
        <v>19</v>
      </c>
      <c r="J1501" s="13" t="str">
        <f>"2.177,00"</f>
        <v>2.177,00</v>
      </c>
      <c r="K1501" s="12" t="s">
        <v>537</v>
      </c>
      <c r="L1501" s="12" t="s">
        <v>1213</v>
      </c>
      <c r="M1501" s="12" t="s">
        <v>44</v>
      </c>
      <c r="N1501" s="12" t="s">
        <v>23</v>
      </c>
      <c r="O1501" s="13" t="str">
        <f>"0,00"</f>
        <v>0,00</v>
      </c>
      <c r="P1501" s="14"/>
    </row>
    <row r="1502" spans="2:16" s="15" customFormat="1" ht="63" x14ac:dyDescent="0.25">
      <c r="B1502" s="12">
        <v>1268</v>
      </c>
      <c r="C1502" s="12" t="str">
        <f>"10-15/NOS-19/15"</f>
        <v>10-15/NOS-19/15</v>
      </c>
      <c r="D1502" s="12" t="s">
        <v>16</v>
      </c>
      <c r="E1502" s="12" t="s">
        <v>1250</v>
      </c>
      <c r="F1502" s="12" t="s">
        <v>277</v>
      </c>
      <c r="G1502" s="12" t="str">
        <f>"10-15/NOS-19/15"</f>
        <v>10-15/NOS-19/15</v>
      </c>
      <c r="H1502" s="12" t="str">
        <f t="shared" si="35"/>
        <v>Ugovor - narudžbenica (periodični predmet)</v>
      </c>
      <c r="I1502" s="12" t="s">
        <v>19</v>
      </c>
      <c r="J1502" s="13" t="str">
        <f>"3.680,00"</f>
        <v>3.680,00</v>
      </c>
      <c r="K1502" s="12" t="s">
        <v>537</v>
      </c>
      <c r="L1502" s="12" t="s">
        <v>1213</v>
      </c>
      <c r="M1502" s="12" t="s">
        <v>44</v>
      </c>
      <c r="N1502" s="12" t="s">
        <v>23</v>
      </c>
      <c r="O1502" s="13" t="str">
        <f>"0,00"</f>
        <v>0,00</v>
      </c>
      <c r="P1502" s="14"/>
    </row>
    <row r="1503" spans="2:16" ht="63" x14ac:dyDescent="0.25">
      <c r="B1503" s="2">
        <v>1269</v>
      </c>
      <c r="C1503" s="2" t="str">
        <f>"10-15/NOS-60/15"</f>
        <v>10-15/NOS-60/15</v>
      </c>
      <c r="D1503" s="2" t="s">
        <v>28</v>
      </c>
      <c r="E1503" s="2" t="s">
        <v>1250</v>
      </c>
      <c r="F1503" s="2" t="s">
        <v>157</v>
      </c>
      <c r="G1503" s="2" t="str">
        <f>"10-15/NOS-60/15"</f>
        <v>10-15/NOS-60/15</v>
      </c>
      <c r="H1503" s="2" t="str">
        <f t="shared" si="35"/>
        <v>Ugovor - narudžbenica (periodični predmet)</v>
      </c>
      <c r="I1503" s="2" t="s">
        <v>19</v>
      </c>
      <c r="J1503" s="3" t="str">
        <f>"4.588,55"</f>
        <v>4.588,55</v>
      </c>
      <c r="K1503" s="2" t="s">
        <v>537</v>
      </c>
      <c r="L1503" s="2" t="s">
        <v>1393</v>
      </c>
      <c r="M1503" s="2" t="s">
        <v>160</v>
      </c>
      <c r="N1503" s="2" t="str">
        <f>"08.01.2016"</f>
        <v>08.01.2016</v>
      </c>
      <c r="O1503" s="3" t="str">
        <f>"4.588,55"</f>
        <v>4.588,55</v>
      </c>
      <c r="P1503" s="4"/>
    </row>
    <row r="1504" spans="2:16" s="19" customFormat="1" ht="63" x14ac:dyDescent="0.25">
      <c r="B1504" s="16">
        <v>1270</v>
      </c>
      <c r="C1504" s="16" t="str">
        <f>"11-15/NOS-36/15"</f>
        <v>11-15/NOS-36/15</v>
      </c>
      <c r="D1504" s="16" t="s">
        <v>1275</v>
      </c>
      <c r="E1504" s="16" t="s">
        <v>1250</v>
      </c>
      <c r="F1504" s="16" t="s">
        <v>194</v>
      </c>
      <c r="G1504" s="16" t="str">
        <f>"11-15/NOS-36/15"</f>
        <v>11-15/NOS-36/15</v>
      </c>
      <c r="H1504" s="16" t="str">
        <f t="shared" si="35"/>
        <v>Ugovor - narudžbenica (periodični predmet)</v>
      </c>
      <c r="I1504" s="16" t="s">
        <v>19</v>
      </c>
      <c r="J1504" s="17" t="str">
        <f>"208.800,00"</f>
        <v>208.800,00</v>
      </c>
      <c r="K1504" s="16" t="s">
        <v>537</v>
      </c>
      <c r="L1504" s="16" t="s">
        <v>1213</v>
      </c>
      <c r="M1504" s="16" t="s">
        <v>197</v>
      </c>
      <c r="N1504" s="16" t="s">
        <v>23</v>
      </c>
      <c r="O1504" s="17" t="str">
        <f>"0,00"</f>
        <v>0,00</v>
      </c>
      <c r="P1504" s="18"/>
    </row>
    <row r="1505" spans="2:16" ht="63" x14ac:dyDescent="0.25">
      <c r="B1505" s="2">
        <v>1271</v>
      </c>
      <c r="C1505" s="2" t="str">
        <f>"15-15/NOS-56/14"</f>
        <v>15-15/NOS-56/14</v>
      </c>
      <c r="D1505" s="2" t="s">
        <v>16</v>
      </c>
      <c r="E1505" s="2" t="s">
        <v>1250</v>
      </c>
      <c r="F1505" s="2" t="s">
        <v>1286</v>
      </c>
      <c r="G1505" s="2" t="str">
        <f>"15-15/NOS-56/14"</f>
        <v>15-15/NOS-56/14</v>
      </c>
      <c r="H1505" s="2" t="str">
        <f t="shared" si="35"/>
        <v>Ugovor - narudžbenica (periodični predmet)</v>
      </c>
      <c r="I1505" s="2" t="s">
        <v>19</v>
      </c>
      <c r="J1505" s="3" t="str">
        <f>"2.437,50"</f>
        <v>2.437,50</v>
      </c>
      <c r="K1505" s="2" t="s">
        <v>537</v>
      </c>
      <c r="L1505" s="2" t="s">
        <v>1213</v>
      </c>
      <c r="M1505" s="2" t="s">
        <v>715</v>
      </c>
      <c r="N1505" s="2" t="str">
        <f>"05.01.2016"</f>
        <v>05.01.2016</v>
      </c>
      <c r="O1505" s="3" t="str">
        <f>"2.437,50"</f>
        <v>2.437,50</v>
      </c>
      <c r="P1505" s="4"/>
    </row>
    <row r="1506" spans="2:16" ht="63" x14ac:dyDescent="0.25">
      <c r="B1506" s="2">
        <v>1272</v>
      </c>
      <c r="C1506" s="2" t="str">
        <f>"9-15/NOS-54/15"</f>
        <v>9-15/NOS-54/15</v>
      </c>
      <c r="D1506" s="2" t="s">
        <v>16</v>
      </c>
      <c r="E1506" s="2" t="s">
        <v>1250</v>
      </c>
      <c r="F1506" s="2" t="s">
        <v>255</v>
      </c>
      <c r="G1506" s="2" t="str">
        <f>"9-15/NOS-54/15"</f>
        <v>9-15/NOS-54/15</v>
      </c>
      <c r="H1506" s="2" t="str">
        <f t="shared" si="35"/>
        <v>Ugovor - narudžbenica (periodični predmet)</v>
      </c>
      <c r="I1506" s="2" t="s">
        <v>19</v>
      </c>
      <c r="J1506" s="3" t="str">
        <f>"12.878,00"</f>
        <v>12.878,00</v>
      </c>
      <c r="K1506" s="2" t="s">
        <v>537</v>
      </c>
      <c r="L1506" s="2" t="s">
        <v>1213</v>
      </c>
      <c r="M1506" s="2" t="s">
        <v>84</v>
      </c>
      <c r="N1506" s="2" t="s">
        <v>23</v>
      </c>
      <c r="O1506" s="3" t="str">
        <f>"0,00"</f>
        <v>0,00</v>
      </c>
      <c r="P1506" s="4"/>
    </row>
    <row r="1507" spans="2:16" ht="63" x14ac:dyDescent="0.25">
      <c r="B1507" s="2">
        <v>1273</v>
      </c>
      <c r="C1507" s="2" t="str">
        <f>"13-15/NOS-183/13"</f>
        <v>13-15/NOS-183/13</v>
      </c>
      <c r="D1507" s="2" t="s">
        <v>85</v>
      </c>
      <c r="E1507" s="2" t="s">
        <v>1250</v>
      </c>
      <c r="F1507" s="2" t="s">
        <v>1292</v>
      </c>
      <c r="G1507" s="2" t="str">
        <f>"13-15/NOS-183/13"</f>
        <v>13-15/NOS-183/13</v>
      </c>
      <c r="H1507" s="2" t="str">
        <f t="shared" si="35"/>
        <v>Ugovor - narudžbenica (periodični predmet)</v>
      </c>
      <c r="I1507" s="2" t="s">
        <v>19</v>
      </c>
      <c r="J1507" s="3" t="str">
        <f>"75.337,50"</f>
        <v>75.337,50</v>
      </c>
      <c r="K1507" s="2" t="s">
        <v>1189</v>
      </c>
      <c r="L1507" s="2" t="s">
        <v>1213</v>
      </c>
      <c r="M1507" s="2" t="s">
        <v>1396</v>
      </c>
      <c r="N1507" s="2" t="str">
        <f>"11.01.2016"</f>
        <v>11.01.2016</v>
      </c>
      <c r="O1507" s="3" t="str">
        <f>"74.107,50"</f>
        <v>74.107,50</v>
      </c>
      <c r="P1507" s="4"/>
    </row>
    <row r="1508" spans="2:16" ht="63" x14ac:dyDescent="0.25">
      <c r="B1508" s="2">
        <v>1274</v>
      </c>
      <c r="C1508" s="2" t="str">
        <f>"9-15/NOS-69/15"</f>
        <v>9-15/NOS-69/15</v>
      </c>
      <c r="D1508" s="2" t="s">
        <v>16</v>
      </c>
      <c r="E1508" s="2" t="s">
        <v>1250</v>
      </c>
      <c r="F1508" s="2" t="s">
        <v>268</v>
      </c>
      <c r="G1508" s="2" t="str">
        <f>"9-15/NOS-69/15"</f>
        <v>9-15/NOS-69/15</v>
      </c>
      <c r="H1508" s="2" t="str">
        <f t="shared" si="35"/>
        <v>Ugovor - narudžbenica (periodični predmet)</v>
      </c>
      <c r="I1508" s="2" t="s">
        <v>19</v>
      </c>
      <c r="J1508" s="3" t="str">
        <f>"2.183,20"</f>
        <v>2.183,20</v>
      </c>
      <c r="K1508" s="2" t="s">
        <v>537</v>
      </c>
      <c r="L1508" s="2" t="s">
        <v>1213</v>
      </c>
      <c r="M1508" s="2" t="s">
        <v>269</v>
      </c>
      <c r="N1508" s="2" t="str">
        <f>"15.12.2015"</f>
        <v>15.12.2015</v>
      </c>
      <c r="O1508" s="3" t="str">
        <f>"2.183,20"</f>
        <v>2.183,20</v>
      </c>
      <c r="P1508" s="4"/>
    </row>
    <row r="1509" spans="2:16" ht="63" x14ac:dyDescent="0.25">
      <c r="B1509" s="2">
        <v>1275</v>
      </c>
      <c r="C1509" s="2" t="str">
        <f>"12-15/NOS-70/14"</f>
        <v>12-15/NOS-70/14</v>
      </c>
      <c r="D1509" s="2" t="s">
        <v>16</v>
      </c>
      <c r="E1509" s="2" t="s">
        <v>1250</v>
      </c>
      <c r="F1509" s="2" t="s">
        <v>1287</v>
      </c>
      <c r="G1509" s="2" t="str">
        <f>"12-15/NOS-70/14"</f>
        <v>12-15/NOS-70/14</v>
      </c>
      <c r="H1509" s="2" t="str">
        <f t="shared" si="35"/>
        <v>Ugovor - narudžbenica (periodični predmet)</v>
      </c>
      <c r="I1509" s="2" t="s">
        <v>19</v>
      </c>
      <c r="J1509" s="3" t="str">
        <f>"22.060,00"</f>
        <v>22.060,00</v>
      </c>
      <c r="K1509" s="2" t="s">
        <v>537</v>
      </c>
      <c r="L1509" s="2" t="s">
        <v>1213</v>
      </c>
      <c r="M1509" s="2" t="s">
        <v>1288</v>
      </c>
      <c r="N1509" s="2" t="str">
        <f>"05.01.2016"</f>
        <v>05.01.2016</v>
      </c>
      <c r="O1509" s="3" t="str">
        <f>"17.634,00"</f>
        <v>17.634,00</v>
      </c>
      <c r="P1509" s="4"/>
    </row>
    <row r="1510" spans="2:16" ht="63" x14ac:dyDescent="0.25">
      <c r="B1510" s="2">
        <v>1276</v>
      </c>
      <c r="C1510" s="2" t="str">
        <f>"5-15/NOS-70-D/15"</f>
        <v>5-15/NOS-70-D/15</v>
      </c>
      <c r="D1510" s="2" t="s">
        <v>16</v>
      </c>
      <c r="E1510" s="2" t="s">
        <v>1250</v>
      </c>
      <c r="F1510" s="2" t="s">
        <v>1342</v>
      </c>
      <c r="G1510" s="2" t="str">
        <f>"5-15/NOS-70-D/15"</f>
        <v>5-15/NOS-70-D/15</v>
      </c>
      <c r="H1510" s="2" t="str">
        <f t="shared" si="35"/>
        <v>Ugovor - narudžbenica (periodični predmet)</v>
      </c>
      <c r="I1510" s="2" t="s">
        <v>19</v>
      </c>
      <c r="J1510" s="3" t="str">
        <f>"5.780,00"</f>
        <v>5.780,00</v>
      </c>
      <c r="K1510" s="2" t="s">
        <v>537</v>
      </c>
      <c r="L1510" s="2" t="s">
        <v>1213</v>
      </c>
      <c r="M1510" s="2" t="s">
        <v>644</v>
      </c>
      <c r="N1510" s="2" t="str">
        <f>"19.11.2015"</f>
        <v>19.11.2015</v>
      </c>
      <c r="O1510" s="3" t="str">
        <f>"5.780,00"</f>
        <v>5.780,00</v>
      </c>
      <c r="P1510" s="4"/>
    </row>
    <row r="1511" spans="2:16" ht="63" x14ac:dyDescent="0.25">
      <c r="B1511" s="2">
        <v>1277</v>
      </c>
      <c r="C1511" s="2" t="str">
        <f>"7-15/NOS-83-A/15"</f>
        <v>7-15/NOS-83-A/15</v>
      </c>
      <c r="D1511" s="2" t="s">
        <v>16</v>
      </c>
      <c r="E1511" s="2" t="s">
        <v>1250</v>
      </c>
      <c r="F1511" s="2" t="s">
        <v>1340</v>
      </c>
      <c r="G1511" s="2" t="str">
        <f>"7-15/NOS-83-A/15"</f>
        <v>7-15/NOS-83-A/15</v>
      </c>
      <c r="H1511" s="2" t="str">
        <f t="shared" si="35"/>
        <v>Ugovor - narudžbenica (periodični predmet)</v>
      </c>
      <c r="I1511" s="2" t="s">
        <v>19</v>
      </c>
      <c r="J1511" s="3" t="str">
        <f>"2.340,00"</f>
        <v>2.340,00</v>
      </c>
      <c r="K1511" s="2" t="s">
        <v>537</v>
      </c>
      <c r="L1511" s="2" t="s">
        <v>1213</v>
      </c>
      <c r="M1511" s="2" t="s">
        <v>1378</v>
      </c>
      <c r="N1511" s="2" t="str">
        <f>"02.12.2015"</f>
        <v>02.12.2015</v>
      </c>
      <c r="O1511" s="3" t="str">
        <f>"2.340,00"</f>
        <v>2.340,00</v>
      </c>
      <c r="P1511" s="4"/>
    </row>
    <row r="1512" spans="2:16" s="19" customFormat="1" ht="63" x14ac:dyDescent="0.25">
      <c r="B1512" s="16">
        <v>1278</v>
      </c>
      <c r="C1512" s="16" t="str">
        <f>"44-15/NOS-216-A/13"</f>
        <v>44-15/NOS-216-A/13</v>
      </c>
      <c r="D1512" s="16" t="s">
        <v>16</v>
      </c>
      <c r="E1512" s="16" t="s">
        <v>1250</v>
      </c>
      <c r="F1512" s="16" t="s">
        <v>1355</v>
      </c>
      <c r="G1512" s="16" t="str">
        <f>"44-15/NOS-216-A/13"</f>
        <v>44-15/NOS-216-A/13</v>
      </c>
      <c r="H1512" s="16" t="str">
        <f t="shared" si="35"/>
        <v>Ugovor - narudžbenica (periodični predmet)</v>
      </c>
      <c r="I1512" s="16" t="s">
        <v>19</v>
      </c>
      <c r="J1512" s="17" t="str">
        <f>"506,24"</f>
        <v>506,24</v>
      </c>
      <c r="K1512" s="16" t="s">
        <v>537</v>
      </c>
      <c r="L1512" s="16" t="s">
        <v>1386</v>
      </c>
      <c r="M1512" s="16" t="s">
        <v>358</v>
      </c>
      <c r="N1512" s="16" t="str">
        <f>"14.12.2015"</f>
        <v>14.12.2015</v>
      </c>
      <c r="O1512" s="17" t="str">
        <f>"486,24"</f>
        <v>486,24</v>
      </c>
      <c r="P1512" s="18"/>
    </row>
    <row r="1513" spans="2:16" s="15" customFormat="1" ht="63" x14ac:dyDescent="0.25">
      <c r="B1513" s="12">
        <v>1279</v>
      </c>
      <c r="C1513" s="12" t="str">
        <f>"5-15/NOS-151/13"</f>
        <v>5-15/NOS-151/13</v>
      </c>
      <c r="D1513" s="12" t="s">
        <v>362</v>
      </c>
      <c r="E1513" s="12" t="s">
        <v>1250</v>
      </c>
      <c r="F1513" s="12" t="s">
        <v>1379</v>
      </c>
      <c r="G1513" s="12" t="str">
        <f>"5-15/NOS-151/13"</f>
        <v>5-15/NOS-151/13</v>
      </c>
      <c r="H1513" s="12" t="str">
        <f t="shared" si="35"/>
        <v>Ugovor - narudžbenica (periodični predmet)</v>
      </c>
      <c r="I1513" s="12" t="s">
        <v>19</v>
      </c>
      <c r="J1513" s="13" t="str">
        <f>"3.984,00"</f>
        <v>3.984,00</v>
      </c>
      <c r="K1513" s="12" t="s">
        <v>537</v>
      </c>
      <c r="L1513" s="12" t="s">
        <v>537</v>
      </c>
      <c r="M1513" s="12" t="s">
        <v>1391</v>
      </c>
      <c r="N1513" s="12" t="s">
        <v>23</v>
      </c>
      <c r="O1513" s="13" t="str">
        <f>"0,00"</f>
        <v>0,00</v>
      </c>
      <c r="P1513" s="14"/>
    </row>
    <row r="1514" spans="2:16" ht="63" x14ac:dyDescent="0.25">
      <c r="B1514" s="2">
        <v>1280</v>
      </c>
      <c r="C1514" s="2" t="str">
        <f>"6-15/NOS-119/15"</f>
        <v>6-15/NOS-119/15</v>
      </c>
      <c r="D1514" s="2" t="s">
        <v>188</v>
      </c>
      <c r="E1514" s="2" t="s">
        <v>1250</v>
      </c>
      <c r="F1514" s="2" t="s">
        <v>455</v>
      </c>
      <c r="G1514" s="2" t="str">
        <f>"6-15/NOS-119/15"</f>
        <v>6-15/NOS-119/15</v>
      </c>
      <c r="H1514" s="2" t="str">
        <f t="shared" ref="H1514:H1545" si="36">"Ugovor - narudžbenica (periodični predmet)"</f>
        <v>Ugovor - narudžbenica (periodični predmet)</v>
      </c>
      <c r="I1514" s="2" t="s">
        <v>19</v>
      </c>
      <c r="J1514" s="3" t="str">
        <f>"155.109,63"</f>
        <v>155.109,63</v>
      </c>
      <c r="K1514" s="2" t="s">
        <v>1131</v>
      </c>
      <c r="L1514" s="2" t="s">
        <v>1184</v>
      </c>
      <c r="M1514" s="2" t="s">
        <v>458</v>
      </c>
      <c r="N1514" s="2" t="str">
        <f>"12.01.2016"</f>
        <v>12.01.2016</v>
      </c>
      <c r="O1514" s="3" t="str">
        <f>"108.977,39"</f>
        <v>108.977,39</v>
      </c>
      <c r="P1514" s="4"/>
    </row>
    <row r="1515" spans="2:16" ht="63" x14ac:dyDescent="0.25">
      <c r="B1515" s="2">
        <v>1281</v>
      </c>
      <c r="C1515" s="2" t="str">
        <f>"16-15/NOS-32/14"</f>
        <v>16-15/NOS-32/14</v>
      </c>
      <c r="D1515" s="2" t="s">
        <v>16</v>
      </c>
      <c r="E1515" s="2" t="s">
        <v>1250</v>
      </c>
      <c r="F1515" s="2" t="s">
        <v>1365</v>
      </c>
      <c r="G1515" s="2" t="str">
        <f>"16-15/NOS-32/14"</f>
        <v>16-15/NOS-32/14</v>
      </c>
      <c r="H1515" s="2" t="str">
        <f t="shared" si="36"/>
        <v>Ugovor - narudžbenica (periodični predmet)</v>
      </c>
      <c r="I1515" s="2" t="s">
        <v>19</v>
      </c>
      <c r="J1515" s="3" t="str">
        <f>"201.231,83"</f>
        <v>201.231,83</v>
      </c>
      <c r="K1515" s="2" t="s">
        <v>1131</v>
      </c>
      <c r="L1515" s="2" t="s">
        <v>1213</v>
      </c>
      <c r="M1515" s="2" t="s">
        <v>1366</v>
      </c>
      <c r="N1515" s="2" t="str">
        <f>"29.12.2015"</f>
        <v>29.12.2015</v>
      </c>
      <c r="O1515" s="3" t="str">
        <f>"179.540,49"</f>
        <v>179.540,49</v>
      </c>
      <c r="P1515" s="2"/>
    </row>
    <row r="1516" spans="2:16" ht="63" x14ac:dyDescent="0.25">
      <c r="B1516" s="2">
        <v>1282</v>
      </c>
      <c r="C1516" s="2" t="str">
        <f>"5-15/NOS-71/15"</f>
        <v>5-15/NOS-71/15</v>
      </c>
      <c r="D1516" s="2" t="s">
        <v>16</v>
      </c>
      <c r="E1516" s="2" t="s">
        <v>1250</v>
      </c>
      <c r="F1516" s="2" t="s">
        <v>575</v>
      </c>
      <c r="G1516" s="2" t="str">
        <f>"5-15/NOS-71/15"</f>
        <v>5-15/NOS-71/15</v>
      </c>
      <c r="H1516" s="2" t="str">
        <f t="shared" si="36"/>
        <v>Ugovor - narudžbenica (periodični predmet)</v>
      </c>
      <c r="I1516" s="2" t="s">
        <v>19</v>
      </c>
      <c r="J1516" s="3" t="str">
        <f>"83.344,22"</f>
        <v>83.344,22</v>
      </c>
      <c r="K1516" s="2" t="s">
        <v>1131</v>
      </c>
      <c r="L1516" s="2" t="s">
        <v>1213</v>
      </c>
      <c r="M1516" s="2" t="s">
        <v>576</v>
      </c>
      <c r="N1516" s="2" t="str">
        <f>"15.12.2015"</f>
        <v>15.12.2015</v>
      </c>
      <c r="O1516" s="3" t="str">
        <f>"83.344,22"</f>
        <v>83.344,22</v>
      </c>
      <c r="P1516" s="4"/>
    </row>
    <row r="1517" spans="2:16" ht="63" x14ac:dyDescent="0.25">
      <c r="B1517" s="2">
        <v>1283</v>
      </c>
      <c r="C1517" s="2" t="str">
        <f>"8-15/NOS-100-A/15"</f>
        <v>8-15/NOS-100-A/15</v>
      </c>
      <c r="D1517" s="2" t="s">
        <v>28</v>
      </c>
      <c r="E1517" s="2" t="s">
        <v>1250</v>
      </c>
      <c r="F1517" s="2" t="s">
        <v>1255</v>
      </c>
      <c r="G1517" s="2" t="str">
        <f>"8-15/NOS-100-A/15"</f>
        <v>8-15/NOS-100-A/15</v>
      </c>
      <c r="H1517" s="2" t="str">
        <f t="shared" si="36"/>
        <v>Ugovor - narudžbenica (periodični predmet)</v>
      </c>
      <c r="I1517" s="2" t="s">
        <v>19</v>
      </c>
      <c r="J1517" s="3" t="str">
        <f>"1.516,40"</f>
        <v>1.516,40</v>
      </c>
      <c r="K1517" s="2" t="s">
        <v>1131</v>
      </c>
      <c r="L1517" s="2" t="s">
        <v>1213</v>
      </c>
      <c r="M1517" s="2" t="s">
        <v>269</v>
      </c>
      <c r="N1517" s="2" t="str">
        <f>"08.01.2016"</f>
        <v>08.01.2016</v>
      </c>
      <c r="O1517" s="3" t="str">
        <f>"1.442,40"</f>
        <v>1.442,40</v>
      </c>
      <c r="P1517" s="4"/>
    </row>
    <row r="1518" spans="2:16" ht="63" x14ac:dyDescent="0.25">
      <c r="B1518" s="2">
        <v>1284</v>
      </c>
      <c r="C1518" s="2" t="str">
        <f>"8-15/NOS-104/14"</f>
        <v>8-15/NOS-104/14</v>
      </c>
      <c r="D1518" s="2" t="s">
        <v>16</v>
      </c>
      <c r="E1518" s="2" t="s">
        <v>1250</v>
      </c>
      <c r="F1518" s="2" t="s">
        <v>37</v>
      </c>
      <c r="G1518" s="2" t="str">
        <f>"8-15/NOS-104/14"</f>
        <v>8-15/NOS-104/14</v>
      </c>
      <c r="H1518" s="2" t="str">
        <f t="shared" si="36"/>
        <v>Ugovor - narudžbenica (periodični predmet)</v>
      </c>
      <c r="I1518" s="2" t="s">
        <v>19</v>
      </c>
      <c r="J1518" s="3" t="str">
        <f>"532,00"</f>
        <v>532,00</v>
      </c>
      <c r="K1518" s="2" t="s">
        <v>1131</v>
      </c>
      <c r="L1518" s="2" t="s">
        <v>1213</v>
      </c>
      <c r="M1518" s="2" t="s">
        <v>40</v>
      </c>
      <c r="N1518" s="2" t="str">
        <f>"16.12.2015"</f>
        <v>16.12.2015</v>
      </c>
      <c r="O1518" s="3" t="str">
        <f>"532,00"</f>
        <v>532,00</v>
      </c>
      <c r="P1518" s="4"/>
    </row>
    <row r="1519" spans="2:16" ht="63" x14ac:dyDescent="0.25">
      <c r="B1519" s="2">
        <v>1285</v>
      </c>
      <c r="C1519" s="2" t="str">
        <f>"6-15/NOS-110/15"</f>
        <v>6-15/NOS-110/15</v>
      </c>
      <c r="D1519" s="2" t="s">
        <v>28</v>
      </c>
      <c r="E1519" s="2" t="s">
        <v>1250</v>
      </c>
      <c r="F1519" s="2" t="s">
        <v>463</v>
      </c>
      <c r="G1519" s="2" t="str">
        <f>"6-15/NOS-110/15"</f>
        <v>6-15/NOS-110/15</v>
      </c>
      <c r="H1519" s="2" t="str">
        <f t="shared" si="36"/>
        <v>Ugovor - narudžbenica (periodični predmet)</v>
      </c>
      <c r="I1519" s="2" t="s">
        <v>19</v>
      </c>
      <c r="J1519" s="3" t="str">
        <f>"18.494,35"</f>
        <v>18.494,35</v>
      </c>
      <c r="K1519" s="2" t="s">
        <v>1131</v>
      </c>
      <c r="L1519" s="2" t="s">
        <v>1213</v>
      </c>
      <c r="M1519" s="2" t="s">
        <v>466</v>
      </c>
      <c r="N1519" s="2" t="str">
        <f>"07.01.2016"</f>
        <v>07.01.2016</v>
      </c>
      <c r="O1519" s="3" t="str">
        <f>"15.556,35"</f>
        <v>15.556,35</v>
      </c>
      <c r="P1519" s="4"/>
    </row>
    <row r="1520" spans="2:16" ht="63" x14ac:dyDescent="0.25">
      <c r="B1520" s="2">
        <v>1286</v>
      </c>
      <c r="C1520" s="2" t="str">
        <f>"13-15/NOS-118/14"</f>
        <v>13-15/NOS-118/14</v>
      </c>
      <c r="D1520" s="2" t="s">
        <v>85</v>
      </c>
      <c r="E1520" s="2" t="s">
        <v>1250</v>
      </c>
      <c r="F1520" s="2" t="s">
        <v>86</v>
      </c>
      <c r="G1520" s="2" t="str">
        <f>"13-15/NOS-118/14"</f>
        <v>13-15/NOS-118/14</v>
      </c>
      <c r="H1520" s="2" t="str">
        <f t="shared" si="36"/>
        <v>Ugovor - narudžbenica (periodični predmet)</v>
      </c>
      <c r="I1520" s="2" t="s">
        <v>19</v>
      </c>
      <c r="J1520" s="3" t="str">
        <f>"188.888,00"</f>
        <v>188.888,00</v>
      </c>
      <c r="K1520" s="2" t="s">
        <v>1131</v>
      </c>
      <c r="L1520" s="2" t="s">
        <v>1213</v>
      </c>
      <c r="M1520" s="2" t="s">
        <v>84</v>
      </c>
      <c r="N1520" s="2" t="str">
        <f>"13.01.2016"</f>
        <v>13.01.2016</v>
      </c>
      <c r="O1520" s="3" t="str">
        <f>"156.114,00"</f>
        <v>156.114,00</v>
      </c>
      <c r="P1520" s="4"/>
    </row>
    <row r="1521" spans="2:16" ht="63" x14ac:dyDescent="0.25">
      <c r="B1521" s="2">
        <v>1287</v>
      </c>
      <c r="C1521" s="2" t="str">
        <f>"13-15/NOS-121-C/14"</f>
        <v>13-15/NOS-121-C/14</v>
      </c>
      <c r="D1521" s="2" t="s">
        <v>85</v>
      </c>
      <c r="E1521" s="2" t="s">
        <v>1250</v>
      </c>
      <c r="F1521" s="2" t="s">
        <v>1316</v>
      </c>
      <c r="G1521" s="2" t="str">
        <f>"13-15/NOS-121-C/14"</f>
        <v>13-15/NOS-121-C/14</v>
      </c>
      <c r="H1521" s="2" t="str">
        <f t="shared" si="36"/>
        <v>Ugovor - narudžbenica (periodični predmet)</v>
      </c>
      <c r="I1521" s="2" t="s">
        <v>19</v>
      </c>
      <c r="J1521" s="3" t="str">
        <f>"76.284,00"</f>
        <v>76.284,00</v>
      </c>
      <c r="K1521" s="2" t="s">
        <v>1386</v>
      </c>
      <c r="L1521" s="2" t="s">
        <v>1213</v>
      </c>
      <c r="M1521" s="2" t="s">
        <v>599</v>
      </c>
      <c r="N1521" s="2" t="str">
        <f>"07.12.2015"</f>
        <v>07.12.2015</v>
      </c>
      <c r="O1521" s="3" t="str">
        <f>"76.284,00"</f>
        <v>76.284,00</v>
      </c>
      <c r="P1521" s="4"/>
    </row>
    <row r="1522" spans="2:16" ht="63" x14ac:dyDescent="0.25">
      <c r="B1522" s="2">
        <v>1288</v>
      </c>
      <c r="C1522" s="2" t="str">
        <f>"10-15/NOS-209/13"</f>
        <v>10-15/NOS-209/13</v>
      </c>
      <c r="D1522" s="2" t="s">
        <v>16</v>
      </c>
      <c r="E1522" s="2" t="s">
        <v>1250</v>
      </c>
      <c r="F1522" s="2" t="s">
        <v>1296</v>
      </c>
      <c r="G1522" s="2" t="str">
        <f>"10-15/NOS-209/13"</f>
        <v>10-15/NOS-209/13</v>
      </c>
      <c r="H1522" s="2" t="str">
        <f t="shared" si="36"/>
        <v>Ugovor - narudžbenica (periodični predmet)</v>
      </c>
      <c r="I1522" s="2" t="s">
        <v>19</v>
      </c>
      <c r="J1522" s="3" t="str">
        <f>"7.026,40"</f>
        <v>7.026,40</v>
      </c>
      <c r="K1522" s="2" t="s">
        <v>1386</v>
      </c>
      <c r="L1522" s="2" t="s">
        <v>1213</v>
      </c>
      <c r="M1522" s="2" t="s">
        <v>111</v>
      </c>
      <c r="N1522" s="2" t="str">
        <f>"28.12.2015"</f>
        <v>28.12.2015</v>
      </c>
      <c r="O1522" s="3" t="str">
        <f>"7.026,40"</f>
        <v>7.026,40</v>
      </c>
      <c r="P1522" s="4"/>
    </row>
    <row r="1523" spans="2:16" ht="63" x14ac:dyDescent="0.25">
      <c r="B1523" s="2">
        <v>1289</v>
      </c>
      <c r="C1523" s="2" t="str">
        <f>"29-15/NOS-184/13"</f>
        <v>29-15/NOS-184/13</v>
      </c>
      <c r="D1523" s="2" t="s">
        <v>28</v>
      </c>
      <c r="E1523" s="2" t="s">
        <v>1250</v>
      </c>
      <c r="F1523" s="2" t="s">
        <v>1397</v>
      </c>
      <c r="G1523" s="2" t="str">
        <f>"29-15/NOS-184/13"</f>
        <v>29-15/NOS-184/13</v>
      </c>
      <c r="H1523" s="2" t="str">
        <f t="shared" si="36"/>
        <v>Ugovor - narudžbenica (periodični predmet)</v>
      </c>
      <c r="I1523" s="2" t="s">
        <v>19</v>
      </c>
      <c r="J1523" s="3" t="str">
        <f>"42.135,00"</f>
        <v>42.135,00</v>
      </c>
      <c r="K1523" s="2" t="s">
        <v>1386</v>
      </c>
      <c r="L1523" s="2" t="s">
        <v>1213</v>
      </c>
      <c r="M1523" s="2" t="s">
        <v>1396</v>
      </c>
      <c r="N1523" s="2" t="str">
        <f>"08.01.2016"</f>
        <v>08.01.2016</v>
      </c>
      <c r="O1523" s="3" t="str">
        <f>"42.135,00"</f>
        <v>42.135,00</v>
      </c>
      <c r="P1523" s="4"/>
    </row>
    <row r="1524" spans="2:16" ht="63" x14ac:dyDescent="0.25">
      <c r="B1524" s="2">
        <v>1290</v>
      </c>
      <c r="C1524" s="2" t="str">
        <f>"15-15/NOS-210-A/13"</f>
        <v>15-15/NOS-210-A/13</v>
      </c>
      <c r="D1524" s="2" t="s">
        <v>85</v>
      </c>
      <c r="E1524" s="2" t="s">
        <v>1250</v>
      </c>
      <c r="F1524" s="2" t="s">
        <v>1294</v>
      </c>
      <c r="G1524" s="2" t="str">
        <f>"15-15/NOS-210-A/13"</f>
        <v>15-15/NOS-210-A/13</v>
      </c>
      <c r="H1524" s="2" t="str">
        <f t="shared" si="36"/>
        <v>Ugovor - narudžbenica (periodični predmet)</v>
      </c>
      <c r="I1524" s="2" t="s">
        <v>19</v>
      </c>
      <c r="J1524" s="3" t="str">
        <f>"76.765,00"</f>
        <v>76.765,00</v>
      </c>
      <c r="K1524" s="2" t="s">
        <v>1386</v>
      </c>
      <c r="L1524" s="2" t="s">
        <v>1213</v>
      </c>
      <c r="M1524" s="2" t="s">
        <v>89</v>
      </c>
      <c r="N1524" s="2" t="str">
        <f>"16.12.2015"</f>
        <v>16.12.2015</v>
      </c>
      <c r="O1524" s="3" t="str">
        <f>"44.063,00"</f>
        <v>44.063,00</v>
      </c>
      <c r="P1524" s="4"/>
    </row>
    <row r="1525" spans="2:16" ht="63" x14ac:dyDescent="0.25">
      <c r="B1525" s="2">
        <v>1291</v>
      </c>
      <c r="C1525" s="2" t="str">
        <f>"11-15/NOS-35/15"</f>
        <v>11-15/NOS-35/15</v>
      </c>
      <c r="D1525" s="2" t="s">
        <v>16</v>
      </c>
      <c r="E1525" s="2" t="s">
        <v>1250</v>
      </c>
      <c r="F1525" s="2" t="s">
        <v>243</v>
      </c>
      <c r="G1525" s="2" t="str">
        <f>"11-15/NOS-35/15"</f>
        <v>11-15/NOS-35/15</v>
      </c>
      <c r="H1525" s="2" t="str">
        <f t="shared" si="36"/>
        <v>Ugovor - narudžbenica (periodični predmet)</v>
      </c>
      <c r="I1525" s="2" t="s">
        <v>19</v>
      </c>
      <c r="J1525" s="3" t="str">
        <f>"12.289,76"</f>
        <v>12.289,76</v>
      </c>
      <c r="K1525" s="2" t="s">
        <v>1386</v>
      </c>
      <c r="L1525" s="2" t="s">
        <v>1213</v>
      </c>
      <c r="M1525" s="2" t="s">
        <v>246</v>
      </c>
      <c r="N1525" s="2" t="str">
        <f>"07.12.2015"</f>
        <v>07.12.2015</v>
      </c>
      <c r="O1525" s="3" t="str">
        <f>"10.782,72"</f>
        <v>10.782,72</v>
      </c>
      <c r="P1525" s="4"/>
    </row>
    <row r="1526" spans="2:16" ht="63" x14ac:dyDescent="0.25">
      <c r="B1526" s="2">
        <v>1292</v>
      </c>
      <c r="C1526" s="2" t="str">
        <f>"7-15/NOS-67/15"</f>
        <v>7-15/NOS-67/15</v>
      </c>
      <c r="D1526" s="2" t="s">
        <v>85</v>
      </c>
      <c r="E1526" s="2" t="s">
        <v>1250</v>
      </c>
      <c r="F1526" s="2" t="s">
        <v>511</v>
      </c>
      <c r="G1526" s="2" t="str">
        <f>"7-15/NOS-67/15"</f>
        <v>7-15/NOS-67/15</v>
      </c>
      <c r="H1526" s="2" t="str">
        <f t="shared" si="36"/>
        <v>Ugovor - narudžbenica (periodični predmet)</v>
      </c>
      <c r="I1526" s="2" t="s">
        <v>19</v>
      </c>
      <c r="J1526" s="3" t="str">
        <f>"54.933,35"</f>
        <v>54.933,35</v>
      </c>
      <c r="K1526" s="2" t="s">
        <v>1386</v>
      </c>
      <c r="L1526" s="2" t="s">
        <v>1213</v>
      </c>
      <c r="M1526" s="2" t="s">
        <v>512</v>
      </c>
      <c r="N1526" s="2" t="str">
        <f>"05.01.2016"</f>
        <v>05.01.2016</v>
      </c>
      <c r="O1526" s="3" t="str">
        <f>"21.175,01"</f>
        <v>21.175,01</v>
      </c>
      <c r="P1526" s="4"/>
    </row>
    <row r="1527" spans="2:16" ht="63" x14ac:dyDescent="0.25">
      <c r="B1527" s="2">
        <v>1293</v>
      </c>
      <c r="C1527" s="2" t="str">
        <f>"18-15/NOS-47/14"</f>
        <v>18-15/NOS-47/14</v>
      </c>
      <c r="D1527" s="2" t="s">
        <v>16</v>
      </c>
      <c r="E1527" s="2" t="s">
        <v>1250</v>
      </c>
      <c r="F1527" s="2" t="s">
        <v>1298</v>
      </c>
      <c r="G1527" s="2" t="str">
        <f>"18-15/NOS-47/14"</f>
        <v>18-15/NOS-47/14</v>
      </c>
      <c r="H1527" s="2" t="str">
        <f t="shared" si="36"/>
        <v>Ugovor - narudžbenica (periodični predmet)</v>
      </c>
      <c r="I1527" s="2" t="s">
        <v>19</v>
      </c>
      <c r="J1527" s="3" t="str">
        <f>"714,11"</f>
        <v>714,11</v>
      </c>
      <c r="K1527" s="2" t="s">
        <v>1195</v>
      </c>
      <c r="L1527" s="2" t="s">
        <v>1213</v>
      </c>
      <c r="M1527" s="2" t="s">
        <v>960</v>
      </c>
      <c r="N1527" s="2" t="str">
        <f>"10.12.2015"</f>
        <v>10.12.2015</v>
      </c>
      <c r="O1527" s="3" t="str">
        <f>"714,11"</f>
        <v>714,11</v>
      </c>
      <c r="P1527" s="4"/>
    </row>
    <row r="1528" spans="2:16" ht="63" x14ac:dyDescent="0.25">
      <c r="B1528" s="2">
        <v>1294</v>
      </c>
      <c r="C1528" s="2" t="str">
        <f>"15-15/NOS-67/14"</f>
        <v>15-15/NOS-67/14</v>
      </c>
      <c r="D1528" s="2" t="s">
        <v>16</v>
      </c>
      <c r="E1528" s="2" t="s">
        <v>1250</v>
      </c>
      <c r="F1528" s="2" t="s">
        <v>1314</v>
      </c>
      <c r="G1528" s="2" t="str">
        <f>"15-15/NOS-67/14"</f>
        <v>15-15/NOS-67/14</v>
      </c>
      <c r="H1528" s="2" t="str">
        <f t="shared" si="36"/>
        <v>Ugovor - narudžbenica (periodični predmet)</v>
      </c>
      <c r="I1528" s="2" t="s">
        <v>19</v>
      </c>
      <c r="J1528" s="3" t="str">
        <f>"568,05"</f>
        <v>568,05</v>
      </c>
      <c r="K1528" s="2" t="s">
        <v>1195</v>
      </c>
      <c r="L1528" s="2" t="s">
        <v>1213</v>
      </c>
      <c r="M1528" s="2" t="s">
        <v>44</v>
      </c>
      <c r="N1528" s="2" t="s">
        <v>23</v>
      </c>
      <c r="O1528" s="3" t="str">
        <f>"0,00"</f>
        <v>0,00</v>
      </c>
      <c r="P1528" s="4"/>
    </row>
    <row r="1529" spans="2:16" ht="63" x14ac:dyDescent="0.25">
      <c r="B1529" s="2">
        <v>1295</v>
      </c>
      <c r="C1529" s="2" t="str">
        <f>"25-15/NOS-83/14"</f>
        <v>25-15/NOS-83/14</v>
      </c>
      <c r="D1529" s="2" t="s">
        <v>16</v>
      </c>
      <c r="E1529" s="2" t="s">
        <v>1250</v>
      </c>
      <c r="F1529" s="2" t="s">
        <v>1273</v>
      </c>
      <c r="G1529" s="2" t="str">
        <f>"25-15/NOS-83/14"</f>
        <v>25-15/NOS-83/14</v>
      </c>
      <c r="H1529" s="2" t="str">
        <f t="shared" si="36"/>
        <v>Ugovor - narudžbenica (periodični predmet)</v>
      </c>
      <c r="I1529" s="2" t="s">
        <v>19</v>
      </c>
      <c r="J1529" s="3" t="str">
        <f>"10.126,00"</f>
        <v>10.126,00</v>
      </c>
      <c r="K1529" s="2" t="s">
        <v>1195</v>
      </c>
      <c r="L1529" s="2" t="s">
        <v>1213</v>
      </c>
      <c r="M1529" s="2" t="s">
        <v>754</v>
      </c>
      <c r="N1529" s="2" t="str">
        <f>"11.12.2015"</f>
        <v>11.12.2015</v>
      </c>
      <c r="O1529" s="3" t="str">
        <f>"10.126,00"</f>
        <v>10.126,00</v>
      </c>
      <c r="P1529" s="4"/>
    </row>
    <row r="1530" spans="2:16" ht="63" x14ac:dyDescent="0.25">
      <c r="B1530" s="2">
        <v>1296</v>
      </c>
      <c r="C1530" s="2" t="str">
        <f>"32-15/NOS-89/14"</f>
        <v>32-15/NOS-89/14</v>
      </c>
      <c r="D1530" s="2" t="s">
        <v>188</v>
      </c>
      <c r="E1530" s="2" t="s">
        <v>1250</v>
      </c>
      <c r="F1530" s="2" t="s">
        <v>1277</v>
      </c>
      <c r="G1530" s="2" t="str">
        <f>"32-15/NOS-89/14"</f>
        <v>32-15/NOS-89/14</v>
      </c>
      <c r="H1530" s="2" t="str">
        <f t="shared" si="36"/>
        <v>Ugovor - narudžbenica (periodični predmet)</v>
      </c>
      <c r="I1530" s="2" t="s">
        <v>19</v>
      </c>
      <c r="J1530" s="3" t="str">
        <f>"26.145,94"</f>
        <v>26.145,94</v>
      </c>
      <c r="K1530" s="2" t="s">
        <v>1195</v>
      </c>
      <c r="L1530" s="2" t="s">
        <v>1213</v>
      </c>
      <c r="M1530" s="2" t="s">
        <v>868</v>
      </c>
      <c r="N1530" s="2" t="str">
        <f>"21.12.2015"</f>
        <v>21.12.2015</v>
      </c>
      <c r="O1530" s="3" t="str">
        <f>"21.560,36"</f>
        <v>21.560,36</v>
      </c>
      <c r="P1530" s="4"/>
    </row>
    <row r="1531" spans="2:16" ht="63" x14ac:dyDescent="0.25">
      <c r="B1531" s="2">
        <v>1297</v>
      </c>
      <c r="C1531" s="2" t="str">
        <f>"5-15/NOS-95/15"</f>
        <v>5-15/NOS-95/15</v>
      </c>
      <c r="D1531" s="2" t="s">
        <v>16</v>
      </c>
      <c r="E1531" s="2" t="s">
        <v>1250</v>
      </c>
      <c r="F1531" s="2" t="s">
        <v>510</v>
      </c>
      <c r="G1531" s="2" t="str">
        <f>"5-15/NOS-95/15"</f>
        <v>5-15/NOS-95/15</v>
      </c>
      <c r="H1531" s="2" t="str">
        <f t="shared" si="36"/>
        <v>Ugovor - narudžbenica (periodični predmet)</v>
      </c>
      <c r="I1531" s="2" t="s">
        <v>19</v>
      </c>
      <c r="J1531" s="3" t="str">
        <f>"4.935,00"</f>
        <v>4.935,00</v>
      </c>
      <c r="K1531" s="2" t="s">
        <v>1195</v>
      </c>
      <c r="L1531" s="2" t="s">
        <v>1213</v>
      </c>
      <c r="M1531" s="2" t="s">
        <v>73</v>
      </c>
      <c r="N1531" s="2" t="str">
        <f>"08.12.2015"</f>
        <v>08.12.2015</v>
      </c>
      <c r="O1531" s="3" t="str">
        <f>"4.935,00"</f>
        <v>4.935,00</v>
      </c>
      <c r="P1531" s="4"/>
    </row>
    <row r="1532" spans="2:16" ht="63" x14ac:dyDescent="0.25">
      <c r="B1532" s="2">
        <v>1298</v>
      </c>
      <c r="C1532" s="2" t="str">
        <f>"6-15/NOS-100-C/15"</f>
        <v>6-15/NOS-100-C/15</v>
      </c>
      <c r="D1532" s="2" t="s">
        <v>16</v>
      </c>
      <c r="E1532" s="2" t="s">
        <v>1250</v>
      </c>
      <c r="F1532" s="2" t="s">
        <v>1255</v>
      </c>
      <c r="G1532" s="2" t="str">
        <f>"6-15/NOS-100-C/15"</f>
        <v>6-15/NOS-100-C/15</v>
      </c>
      <c r="H1532" s="2" t="str">
        <f t="shared" si="36"/>
        <v>Ugovor - narudžbenica (periodični predmet)</v>
      </c>
      <c r="I1532" s="2" t="s">
        <v>19</v>
      </c>
      <c r="J1532" s="3" t="str">
        <f>"3.176,50"</f>
        <v>3.176,50</v>
      </c>
      <c r="K1532" s="2" t="s">
        <v>1195</v>
      </c>
      <c r="L1532" s="2" t="s">
        <v>1213</v>
      </c>
      <c r="M1532" s="2" t="s">
        <v>44</v>
      </c>
      <c r="N1532" s="2" t="s">
        <v>23</v>
      </c>
      <c r="O1532" s="3" t="str">
        <f>"0,00"</f>
        <v>0,00</v>
      </c>
      <c r="P1532" s="4"/>
    </row>
    <row r="1533" spans="2:16" ht="63" x14ac:dyDescent="0.25">
      <c r="B1533" s="2">
        <v>1299</v>
      </c>
      <c r="C1533" s="2" t="str">
        <f>"7-15/NOS-93/15"</f>
        <v>7-15/NOS-93/15</v>
      </c>
      <c r="D1533" s="2" t="s">
        <v>28</v>
      </c>
      <c r="E1533" s="2" t="s">
        <v>1250</v>
      </c>
      <c r="F1533" s="2" t="s">
        <v>543</v>
      </c>
      <c r="G1533" s="2" t="str">
        <f>"7-15/NOS-93/15"</f>
        <v>7-15/NOS-93/15</v>
      </c>
      <c r="H1533" s="2" t="str">
        <f t="shared" si="36"/>
        <v>Ugovor - narudžbenica (periodični predmet)</v>
      </c>
      <c r="I1533" s="2" t="s">
        <v>19</v>
      </c>
      <c r="J1533" s="3" t="str">
        <f>"26.146,85"</f>
        <v>26.146,85</v>
      </c>
      <c r="K1533" s="2" t="s">
        <v>1195</v>
      </c>
      <c r="L1533" s="2" t="s">
        <v>1213</v>
      </c>
      <c r="M1533" s="2" t="s">
        <v>44</v>
      </c>
      <c r="N1533" s="2" t="str">
        <f>"12.01.2016"</f>
        <v>12.01.2016</v>
      </c>
      <c r="O1533" s="3" t="str">
        <f>"4.420,90"</f>
        <v>4.420,90</v>
      </c>
      <c r="P1533" s="4"/>
    </row>
    <row r="1534" spans="2:16" ht="63" x14ac:dyDescent="0.25">
      <c r="B1534" s="2">
        <v>1300</v>
      </c>
      <c r="C1534" s="2" t="str">
        <f>"15-15/NOS-108/14"</f>
        <v>15-15/NOS-108/14</v>
      </c>
      <c r="D1534" s="2" t="s">
        <v>16</v>
      </c>
      <c r="E1534" s="2" t="s">
        <v>1250</v>
      </c>
      <c r="F1534" s="2" t="s">
        <v>41</v>
      </c>
      <c r="G1534" s="2" t="str">
        <f>"15-15/NOS-108/14"</f>
        <v>15-15/NOS-108/14</v>
      </c>
      <c r="H1534" s="2" t="str">
        <f t="shared" si="36"/>
        <v>Ugovor - narudžbenica (periodični predmet)</v>
      </c>
      <c r="I1534" s="2" t="s">
        <v>19</v>
      </c>
      <c r="J1534" s="3" t="str">
        <f>"44.259,50"</f>
        <v>44.259,50</v>
      </c>
      <c r="K1534" s="2" t="s">
        <v>1388</v>
      </c>
      <c r="L1534" s="2" t="s">
        <v>1213</v>
      </c>
      <c r="M1534" s="2" t="s">
        <v>45</v>
      </c>
      <c r="N1534" s="2" t="str">
        <f>"28.12.2015"</f>
        <v>28.12.2015</v>
      </c>
      <c r="O1534" s="3" t="str">
        <f>"44.259,50"</f>
        <v>44.259,50</v>
      </c>
      <c r="P1534" s="4"/>
    </row>
    <row r="1535" spans="2:16" ht="63" x14ac:dyDescent="0.25">
      <c r="B1535" s="2">
        <v>1301</v>
      </c>
      <c r="C1535" s="2" t="str">
        <f>"30-15/NOS-184/13"</f>
        <v>30-15/NOS-184/13</v>
      </c>
      <c r="D1535" s="2" t="s">
        <v>85</v>
      </c>
      <c r="E1535" s="2" t="s">
        <v>1250</v>
      </c>
      <c r="F1535" s="2" t="s">
        <v>1397</v>
      </c>
      <c r="G1535" s="2" t="str">
        <f>"30-15/NOS-184/13"</f>
        <v>30-15/NOS-184/13</v>
      </c>
      <c r="H1535" s="2" t="str">
        <f t="shared" si="36"/>
        <v>Ugovor - narudžbenica (periodični predmet)</v>
      </c>
      <c r="I1535" s="2" t="s">
        <v>19</v>
      </c>
      <c r="J1535" s="3" t="str">
        <f>"1.480,00"</f>
        <v>1.480,00</v>
      </c>
      <c r="K1535" s="2" t="s">
        <v>1398</v>
      </c>
      <c r="L1535" s="2" t="s">
        <v>1399</v>
      </c>
      <c r="M1535" s="2" t="s">
        <v>1293</v>
      </c>
      <c r="N1535" s="2" t="str">
        <f>"07.12.2015"</f>
        <v>07.12.2015</v>
      </c>
      <c r="O1535" s="3" t="str">
        <f>"1.480,00"</f>
        <v>1.480,00</v>
      </c>
      <c r="P1535" s="4"/>
    </row>
    <row r="1536" spans="2:16" ht="63" x14ac:dyDescent="0.25">
      <c r="B1536" s="2">
        <v>1302</v>
      </c>
      <c r="C1536" s="2" t="str">
        <f>"16-15/NOS-56/14"</f>
        <v>16-15/NOS-56/14</v>
      </c>
      <c r="D1536" s="2" t="s">
        <v>16</v>
      </c>
      <c r="E1536" s="2" t="s">
        <v>1250</v>
      </c>
      <c r="F1536" s="2" t="s">
        <v>1286</v>
      </c>
      <c r="G1536" s="2" t="str">
        <f>"16-15/NOS-56/14"</f>
        <v>16-15/NOS-56/14</v>
      </c>
      <c r="H1536" s="2" t="str">
        <f t="shared" si="36"/>
        <v>Ugovor - narudžbenica (periodični predmet)</v>
      </c>
      <c r="I1536" s="2" t="s">
        <v>19</v>
      </c>
      <c r="J1536" s="3" t="str">
        <f>"31.900,00"</f>
        <v>31.900,00</v>
      </c>
      <c r="K1536" s="2" t="s">
        <v>1198</v>
      </c>
      <c r="L1536" s="2" t="s">
        <v>1184</v>
      </c>
      <c r="M1536" s="2" t="s">
        <v>715</v>
      </c>
      <c r="N1536" s="2" t="str">
        <f>"30.12.2015"</f>
        <v>30.12.2015</v>
      </c>
      <c r="O1536" s="3" t="str">
        <f>"31.900,00"</f>
        <v>31.900,00</v>
      </c>
      <c r="P1536" s="4"/>
    </row>
    <row r="1537" spans="2:16" ht="63" x14ac:dyDescent="0.25">
      <c r="B1537" s="2">
        <v>1303</v>
      </c>
      <c r="C1537" s="2" t="str">
        <f>"10-15/NOS-70-A/15"</f>
        <v>10-15/NOS-70-A/15</v>
      </c>
      <c r="D1537" s="2" t="s">
        <v>28</v>
      </c>
      <c r="E1537" s="2" t="s">
        <v>1250</v>
      </c>
      <c r="F1537" s="2" t="s">
        <v>1342</v>
      </c>
      <c r="G1537" s="2" t="str">
        <f>"10-15/NOS-70-A/15"</f>
        <v>10-15/NOS-70-A/15</v>
      </c>
      <c r="H1537" s="2" t="str">
        <f t="shared" si="36"/>
        <v>Ugovor - narudžbenica (periodični predmet)</v>
      </c>
      <c r="I1537" s="2" t="s">
        <v>19</v>
      </c>
      <c r="J1537" s="3" t="str">
        <f>"24.363,00"</f>
        <v>24.363,00</v>
      </c>
      <c r="K1537" s="2" t="s">
        <v>1198</v>
      </c>
      <c r="L1537" s="2" t="s">
        <v>1184</v>
      </c>
      <c r="M1537" s="2" t="s">
        <v>508</v>
      </c>
      <c r="N1537" s="2" t="str">
        <f>"12.01.2016"</f>
        <v>12.01.2016</v>
      </c>
      <c r="O1537" s="3" t="str">
        <f>"24.363,00"</f>
        <v>24.363,00</v>
      </c>
      <c r="P1537" s="4"/>
    </row>
    <row r="1538" spans="2:16" ht="78.75" x14ac:dyDescent="0.25">
      <c r="B1538" s="2">
        <v>1304</v>
      </c>
      <c r="C1538" s="2" t="str">
        <f>"13-15/NOS-218/13"</f>
        <v>13-15/NOS-218/13</v>
      </c>
      <c r="D1538" s="2" t="s">
        <v>903</v>
      </c>
      <c r="E1538" s="2" t="s">
        <v>1250</v>
      </c>
      <c r="F1538" s="2" t="s">
        <v>1270</v>
      </c>
      <c r="G1538" s="2" t="str">
        <f>"13-15/NOS-218/13"</f>
        <v>13-15/NOS-218/13</v>
      </c>
      <c r="H1538" s="2" t="str">
        <f t="shared" si="36"/>
        <v>Ugovor - narudžbenica (periodični predmet)</v>
      </c>
      <c r="I1538" s="2" t="s">
        <v>19</v>
      </c>
      <c r="J1538" s="3" t="str">
        <f>"3.680,80"</f>
        <v>3.680,80</v>
      </c>
      <c r="K1538" s="2" t="s">
        <v>1198</v>
      </c>
      <c r="L1538" s="2" t="s">
        <v>1184</v>
      </c>
      <c r="M1538" s="2" t="s">
        <v>920</v>
      </c>
      <c r="N1538" s="2" t="str">
        <f>"13.01.2016"</f>
        <v>13.01.2016</v>
      </c>
      <c r="O1538" s="3" t="str">
        <f>"1.058,80"</f>
        <v>1.058,80</v>
      </c>
      <c r="P1538" s="4"/>
    </row>
    <row r="1539" spans="2:16" ht="63" x14ac:dyDescent="0.25">
      <c r="B1539" s="2">
        <v>1305</v>
      </c>
      <c r="C1539" s="2" t="str">
        <f>"21-15/NOS-205/13"</f>
        <v>21-15/NOS-205/13</v>
      </c>
      <c r="D1539" s="2" t="s">
        <v>16</v>
      </c>
      <c r="E1539" s="2" t="s">
        <v>1250</v>
      </c>
      <c r="F1539" s="2" t="s">
        <v>1290</v>
      </c>
      <c r="G1539" s="2" t="str">
        <f>"21-15/NOS-205/13"</f>
        <v>21-15/NOS-205/13</v>
      </c>
      <c r="H1539" s="2" t="str">
        <f t="shared" si="36"/>
        <v>Ugovor - narudžbenica (periodični predmet)</v>
      </c>
      <c r="I1539" s="2" t="s">
        <v>19</v>
      </c>
      <c r="J1539" s="3" t="str">
        <f>"1.710,00"</f>
        <v>1.710,00</v>
      </c>
      <c r="K1539" s="2" t="s">
        <v>1198</v>
      </c>
      <c r="L1539" s="2" t="s">
        <v>1184</v>
      </c>
      <c r="M1539" s="2" t="s">
        <v>1291</v>
      </c>
      <c r="N1539" s="2" t="s">
        <v>23</v>
      </c>
      <c r="O1539" s="3" t="str">
        <f>"0,00"</f>
        <v>0,00</v>
      </c>
      <c r="P1539" s="4"/>
    </row>
    <row r="1540" spans="2:16" ht="63" x14ac:dyDescent="0.25">
      <c r="B1540" s="2">
        <v>1306</v>
      </c>
      <c r="C1540" s="2" t="str">
        <f>"7-15/NOS-62/15"</f>
        <v>7-15/NOS-62/15</v>
      </c>
      <c r="D1540" s="2" t="s">
        <v>85</v>
      </c>
      <c r="E1540" s="2" t="s">
        <v>1250</v>
      </c>
      <c r="F1540" s="2" t="s">
        <v>211</v>
      </c>
      <c r="G1540" s="2" t="str">
        <f>"7-15/NOS-62/15"</f>
        <v>7-15/NOS-62/15</v>
      </c>
      <c r="H1540" s="2" t="str">
        <f t="shared" si="36"/>
        <v>Ugovor - narudžbenica (periodični predmet)</v>
      </c>
      <c r="I1540" s="2" t="s">
        <v>19</v>
      </c>
      <c r="J1540" s="3" t="str">
        <f>"180.000,00"</f>
        <v>180.000,00</v>
      </c>
      <c r="K1540" s="2" t="s">
        <v>1198</v>
      </c>
      <c r="L1540" s="2" t="s">
        <v>1184</v>
      </c>
      <c r="M1540" s="2" t="s">
        <v>213</v>
      </c>
      <c r="N1540" s="2" t="str">
        <f>"12.01.2016"</f>
        <v>12.01.2016</v>
      </c>
      <c r="O1540" s="3" t="str">
        <f>"116.218,20"</f>
        <v>116.218,20</v>
      </c>
      <c r="P1540" s="4"/>
    </row>
    <row r="1541" spans="2:16" ht="63" x14ac:dyDescent="0.25">
      <c r="B1541" s="2">
        <v>1307</v>
      </c>
      <c r="C1541" s="2" t="str">
        <f>"10-15/NOS-54/15"</f>
        <v>10-15/NOS-54/15</v>
      </c>
      <c r="D1541" s="2" t="s">
        <v>16</v>
      </c>
      <c r="E1541" s="2" t="s">
        <v>1250</v>
      </c>
      <c r="F1541" s="2" t="s">
        <v>255</v>
      </c>
      <c r="G1541" s="2" t="str">
        <f>"10-15/NOS-54/15"</f>
        <v>10-15/NOS-54/15</v>
      </c>
      <c r="H1541" s="2" t="str">
        <f t="shared" si="36"/>
        <v>Ugovor - narudžbenica (periodični predmet)</v>
      </c>
      <c r="I1541" s="2" t="s">
        <v>19</v>
      </c>
      <c r="J1541" s="3" t="str">
        <f>"43.850,00"</f>
        <v>43.850,00</v>
      </c>
      <c r="K1541" s="2" t="s">
        <v>717</v>
      </c>
      <c r="L1541" s="2" t="s">
        <v>1184</v>
      </c>
      <c r="M1541" s="2" t="s">
        <v>259</v>
      </c>
      <c r="N1541" s="2" t="str">
        <f>"15.12.2015"</f>
        <v>15.12.2015</v>
      </c>
      <c r="O1541" s="3" t="str">
        <f>"43.850,00"</f>
        <v>43.850,00</v>
      </c>
      <c r="P1541" s="4"/>
    </row>
    <row r="1542" spans="2:16" ht="63" x14ac:dyDescent="0.25">
      <c r="B1542" s="2">
        <v>1308</v>
      </c>
      <c r="C1542" s="2" t="str">
        <f>"14-15/NOS-92/14"</f>
        <v>14-15/NOS-92/14</v>
      </c>
      <c r="D1542" s="2" t="s">
        <v>16</v>
      </c>
      <c r="E1542" s="2" t="s">
        <v>1250</v>
      </c>
      <c r="F1542" s="2" t="s">
        <v>1389</v>
      </c>
      <c r="G1542" s="2" t="str">
        <f>"14-15/NOS-92/14"</f>
        <v>14-15/NOS-92/14</v>
      </c>
      <c r="H1542" s="2" t="str">
        <f t="shared" si="36"/>
        <v>Ugovor - narudžbenica (periodični predmet)</v>
      </c>
      <c r="I1542" s="2" t="s">
        <v>19</v>
      </c>
      <c r="J1542" s="3" t="str">
        <f>"237.700,00"</f>
        <v>237.700,00</v>
      </c>
      <c r="K1542" s="2" t="s">
        <v>717</v>
      </c>
      <c r="L1542" s="2" t="s">
        <v>1399</v>
      </c>
      <c r="M1542" s="2" t="s">
        <v>859</v>
      </c>
      <c r="N1542" s="2" t="str">
        <f>"28.12.2015"</f>
        <v>28.12.2015</v>
      </c>
      <c r="O1542" s="3" t="str">
        <f>"215.000,00"</f>
        <v>215.000,00</v>
      </c>
      <c r="P1542" s="4"/>
    </row>
    <row r="1543" spans="2:16" ht="63" x14ac:dyDescent="0.25">
      <c r="B1543" s="2">
        <v>1309</v>
      </c>
      <c r="C1543" s="2" t="str">
        <f>"6-15/NOS-95/15"</f>
        <v>6-15/NOS-95/15</v>
      </c>
      <c r="D1543" s="2" t="s">
        <v>16</v>
      </c>
      <c r="E1543" s="2" t="s">
        <v>1250</v>
      </c>
      <c r="F1543" s="2" t="s">
        <v>510</v>
      </c>
      <c r="G1543" s="2" t="str">
        <f>"6-15/NOS-95/15"</f>
        <v>6-15/NOS-95/15</v>
      </c>
      <c r="H1543" s="2" t="str">
        <f t="shared" si="36"/>
        <v>Ugovor - narudžbenica (periodični predmet)</v>
      </c>
      <c r="I1543" s="2" t="s">
        <v>19</v>
      </c>
      <c r="J1543" s="3" t="str">
        <f>"24.990,00"</f>
        <v>24.990,00</v>
      </c>
      <c r="K1543" s="2" t="s">
        <v>717</v>
      </c>
      <c r="L1543" s="2" t="s">
        <v>1184</v>
      </c>
      <c r="M1543" s="2" t="s">
        <v>73</v>
      </c>
      <c r="N1543" s="2" t="str">
        <f>"17.12.2015"</f>
        <v>17.12.2015</v>
      </c>
      <c r="O1543" s="3" t="str">
        <f>"24.990,00"</f>
        <v>24.990,00</v>
      </c>
      <c r="P1543" s="4"/>
    </row>
    <row r="1544" spans="2:16" ht="63" x14ac:dyDescent="0.25">
      <c r="B1544" s="2">
        <v>1310</v>
      </c>
      <c r="C1544" s="2" t="str">
        <f>"16-15/NOS-112/14"</f>
        <v>16-15/NOS-112/14</v>
      </c>
      <c r="D1544" s="2" t="s">
        <v>16</v>
      </c>
      <c r="E1544" s="2" t="s">
        <v>1250</v>
      </c>
      <c r="F1544" s="2" t="s">
        <v>77</v>
      </c>
      <c r="G1544" s="2" t="str">
        <f>"16-15/NOS-112/14"</f>
        <v>16-15/NOS-112/14</v>
      </c>
      <c r="H1544" s="2" t="str">
        <f t="shared" si="36"/>
        <v>Ugovor - narudžbenica (periodični predmet)</v>
      </c>
      <c r="I1544" s="2" t="s">
        <v>19</v>
      </c>
      <c r="J1544" s="3" t="str">
        <f>"9.550,00"</f>
        <v>9.550,00</v>
      </c>
      <c r="K1544" s="2" t="s">
        <v>717</v>
      </c>
      <c r="L1544" s="2" t="s">
        <v>1184</v>
      </c>
      <c r="M1544" s="2" t="s">
        <v>80</v>
      </c>
      <c r="N1544" s="2" t="str">
        <f>"08.12.2015"</f>
        <v>08.12.2015</v>
      </c>
      <c r="O1544" s="3" t="str">
        <f>"9.550,00"</f>
        <v>9.550,00</v>
      </c>
      <c r="P1544" s="4"/>
    </row>
    <row r="1545" spans="2:16" ht="63" x14ac:dyDescent="0.25">
      <c r="B1545" s="2">
        <v>1311</v>
      </c>
      <c r="C1545" s="2" t="str">
        <f>"42-15/NOS-29/12"</f>
        <v>42-15/NOS-29/12</v>
      </c>
      <c r="D1545" s="2" t="s">
        <v>85</v>
      </c>
      <c r="E1545" s="2" t="s">
        <v>1250</v>
      </c>
      <c r="F1545" s="2" t="s">
        <v>1269</v>
      </c>
      <c r="G1545" s="2" t="str">
        <f>"42-15/NOS-29/12"</f>
        <v>42-15/NOS-29/12</v>
      </c>
      <c r="H1545" s="2" t="str">
        <f t="shared" si="36"/>
        <v>Ugovor - narudžbenica (periodični predmet)</v>
      </c>
      <c r="I1545" s="2" t="s">
        <v>19</v>
      </c>
      <c r="J1545" s="3" t="str">
        <f>"97.371,00"</f>
        <v>97.371,00</v>
      </c>
      <c r="K1545" s="2" t="s">
        <v>717</v>
      </c>
      <c r="L1545" s="2" t="s">
        <v>1400</v>
      </c>
      <c r="M1545" s="2" t="s">
        <v>345</v>
      </c>
      <c r="N1545" s="2" t="s">
        <v>23</v>
      </c>
      <c r="O1545" s="3" t="str">
        <f>"0,00"</f>
        <v>0,00</v>
      </c>
      <c r="P1545" s="4"/>
    </row>
    <row r="1546" spans="2:16" ht="63" x14ac:dyDescent="0.25">
      <c r="B1546" s="2">
        <v>1312</v>
      </c>
      <c r="C1546" s="2" t="str">
        <f>"60-15/NOS-21/14"</f>
        <v>60-15/NOS-21/14</v>
      </c>
      <c r="D1546" s="2" t="s">
        <v>28</v>
      </c>
      <c r="E1546" s="2" t="s">
        <v>1250</v>
      </c>
      <c r="F1546" s="2" t="s">
        <v>1349</v>
      </c>
      <c r="G1546" s="2" t="str">
        <f>"60-15/NOS-21/14"</f>
        <v>60-15/NOS-21/14</v>
      </c>
      <c r="H1546" s="2" t="str">
        <f t="shared" ref="H1546:H1577" si="37">"Ugovor - narudžbenica (periodični predmet)"</f>
        <v>Ugovor - narudžbenica (periodični predmet)</v>
      </c>
      <c r="I1546" s="2" t="s">
        <v>19</v>
      </c>
      <c r="J1546" s="3" t="str">
        <f>"16.470,00"</f>
        <v>16.470,00</v>
      </c>
      <c r="K1546" s="2" t="s">
        <v>717</v>
      </c>
      <c r="L1546" s="2" t="s">
        <v>1184</v>
      </c>
      <c r="M1546" s="2" t="s">
        <v>944</v>
      </c>
      <c r="N1546" s="2" t="str">
        <f>"24.12.2015"</f>
        <v>24.12.2015</v>
      </c>
      <c r="O1546" s="3" t="str">
        <f>"579,20"</f>
        <v>579,20</v>
      </c>
      <c r="P1546" s="4"/>
    </row>
    <row r="1547" spans="2:16" ht="63" x14ac:dyDescent="0.25">
      <c r="B1547" s="2">
        <v>1313</v>
      </c>
      <c r="C1547" s="2" t="str">
        <f>"7-15/NOS-75-G/15"</f>
        <v>7-15/NOS-75-G/15</v>
      </c>
      <c r="D1547" s="2" t="s">
        <v>16</v>
      </c>
      <c r="E1547" s="2" t="s">
        <v>1250</v>
      </c>
      <c r="F1547" s="2" t="s">
        <v>1337</v>
      </c>
      <c r="G1547" s="2" t="str">
        <f>"7-15/NOS-75-G/15"</f>
        <v>7-15/NOS-75-G/15</v>
      </c>
      <c r="H1547" s="2" t="str">
        <f t="shared" si="37"/>
        <v>Ugovor - narudžbenica (periodični predmet)</v>
      </c>
      <c r="I1547" s="2" t="s">
        <v>19</v>
      </c>
      <c r="J1547" s="3" t="str">
        <f>"622,80"</f>
        <v>622,80</v>
      </c>
      <c r="K1547" s="2" t="s">
        <v>717</v>
      </c>
      <c r="L1547" s="2" t="s">
        <v>1184</v>
      </c>
      <c r="M1547" s="2" t="s">
        <v>677</v>
      </c>
      <c r="N1547" s="2" t="str">
        <f>"29.12.2015"</f>
        <v>29.12.2015</v>
      </c>
      <c r="O1547" s="3" t="str">
        <f>"622,80"</f>
        <v>622,80</v>
      </c>
      <c r="P1547" s="4"/>
    </row>
    <row r="1548" spans="2:16" ht="63" x14ac:dyDescent="0.25">
      <c r="B1548" s="2">
        <v>1314</v>
      </c>
      <c r="C1548" s="2" t="str">
        <f>"8-15/NOS-75-I/15"</f>
        <v>8-15/NOS-75-I/15</v>
      </c>
      <c r="D1548" s="2" t="s">
        <v>16</v>
      </c>
      <c r="E1548" s="2" t="s">
        <v>1250</v>
      </c>
      <c r="F1548" s="2" t="s">
        <v>1337</v>
      </c>
      <c r="G1548" s="2" t="str">
        <f>"8-15/NOS-75-I/15"</f>
        <v>8-15/NOS-75-I/15</v>
      </c>
      <c r="H1548" s="2" t="str">
        <f t="shared" si="37"/>
        <v>Ugovor - narudžbenica (periodični predmet)</v>
      </c>
      <c r="I1548" s="2" t="s">
        <v>19</v>
      </c>
      <c r="J1548" s="3" t="str">
        <f>"30.888,00"</f>
        <v>30.888,00</v>
      </c>
      <c r="K1548" s="2" t="s">
        <v>717</v>
      </c>
      <c r="L1548" s="2" t="s">
        <v>1184</v>
      </c>
      <c r="M1548" s="2" t="s">
        <v>612</v>
      </c>
      <c r="N1548" s="2" t="s">
        <v>23</v>
      </c>
      <c r="O1548" s="3" t="str">
        <f>"0,00"</f>
        <v>0,00</v>
      </c>
      <c r="P1548" s="4"/>
    </row>
    <row r="1549" spans="2:16" ht="63" x14ac:dyDescent="0.25">
      <c r="B1549" s="2">
        <v>1315</v>
      </c>
      <c r="C1549" s="2" t="str">
        <f>"12-15/NOS-90/15"</f>
        <v>12-15/NOS-90/15</v>
      </c>
      <c r="D1549" s="2" t="s">
        <v>28</v>
      </c>
      <c r="E1549" s="2" t="s">
        <v>1250</v>
      </c>
      <c r="F1549" s="2" t="s">
        <v>177</v>
      </c>
      <c r="G1549" s="2" t="str">
        <f>"12-15/NOS-90/15"</f>
        <v>12-15/NOS-90/15</v>
      </c>
      <c r="H1549" s="2" t="str">
        <f t="shared" si="37"/>
        <v>Ugovor - narudžbenica (periodični predmet)</v>
      </c>
      <c r="I1549" s="2" t="s">
        <v>19</v>
      </c>
      <c r="J1549" s="3" t="str">
        <f>"31.645,65"</f>
        <v>31.645,65</v>
      </c>
      <c r="K1549" s="2" t="s">
        <v>717</v>
      </c>
      <c r="L1549" s="2" t="s">
        <v>1399</v>
      </c>
      <c r="M1549" s="2" t="s">
        <v>44</v>
      </c>
      <c r="N1549" s="2" t="str">
        <f>"12.01.2016"</f>
        <v>12.01.2016</v>
      </c>
      <c r="O1549" s="3" t="str">
        <f>"21.620,00"</f>
        <v>21.620,00</v>
      </c>
      <c r="P1549" s="2"/>
    </row>
    <row r="1550" spans="2:16" ht="63" x14ac:dyDescent="0.25">
      <c r="B1550" s="2">
        <v>1316</v>
      </c>
      <c r="C1550" s="2" t="str">
        <f>"10-15/NOS-75-F/15"</f>
        <v>10-15/NOS-75-F/15</v>
      </c>
      <c r="D1550" s="2" t="s">
        <v>16</v>
      </c>
      <c r="E1550" s="2" t="s">
        <v>1250</v>
      </c>
      <c r="F1550" s="2" t="s">
        <v>1337</v>
      </c>
      <c r="G1550" s="2" t="str">
        <f>"10-15/NOS-75-F/15"</f>
        <v>10-15/NOS-75-F/15</v>
      </c>
      <c r="H1550" s="2" t="str">
        <f t="shared" si="37"/>
        <v>Ugovor - narudžbenica (periodični predmet)</v>
      </c>
      <c r="I1550" s="2" t="s">
        <v>19</v>
      </c>
      <c r="J1550" s="3" t="str">
        <f>"12.898,00"</f>
        <v>12.898,00</v>
      </c>
      <c r="K1550" s="2" t="s">
        <v>717</v>
      </c>
      <c r="L1550" s="2" t="s">
        <v>1184</v>
      </c>
      <c r="M1550" s="2" t="s">
        <v>218</v>
      </c>
      <c r="N1550" s="2" t="str">
        <f>"12.01.2016"</f>
        <v>12.01.2016</v>
      </c>
      <c r="O1550" s="3" t="str">
        <f>"98,00"</f>
        <v>98,00</v>
      </c>
      <c r="P1550" s="4"/>
    </row>
    <row r="1551" spans="2:16" ht="63" x14ac:dyDescent="0.25">
      <c r="B1551" s="2">
        <v>1317</v>
      </c>
      <c r="C1551" s="2" t="str">
        <f>"11-15/NOS-90/15"</f>
        <v>11-15/NOS-90/15</v>
      </c>
      <c r="D1551" s="2" t="s">
        <v>28</v>
      </c>
      <c r="E1551" s="2" t="s">
        <v>1250</v>
      </c>
      <c r="F1551" s="2" t="s">
        <v>177</v>
      </c>
      <c r="G1551" s="2" t="str">
        <f>"11-15/NOS-90/15"</f>
        <v>11-15/NOS-90/15</v>
      </c>
      <c r="H1551" s="2" t="str">
        <f t="shared" si="37"/>
        <v>Ugovor - narudžbenica (periodični predmet)</v>
      </c>
      <c r="I1551" s="2" t="s">
        <v>19</v>
      </c>
      <c r="J1551" s="3" t="str">
        <f>"4.482,00"</f>
        <v>4.482,00</v>
      </c>
      <c r="K1551" s="2" t="s">
        <v>717</v>
      </c>
      <c r="L1551" s="2" t="s">
        <v>1184</v>
      </c>
      <c r="M1551" s="2" t="s">
        <v>44</v>
      </c>
      <c r="N1551" s="2" t="str">
        <f>"12.01.2016"</f>
        <v>12.01.2016</v>
      </c>
      <c r="O1551" s="3" t="str">
        <f>"560,00"</f>
        <v>560,00</v>
      </c>
      <c r="P1551" s="4"/>
    </row>
    <row r="1552" spans="2:16" ht="63" x14ac:dyDescent="0.25">
      <c r="B1552" s="2">
        <v>1318</v>
      </c>
      <c r="C1552" s="2" t="str">
        <f>"14-15/NOS-203/13"</f>
        <v>14-15/NOS-203/13</v>
      </c>
      <c r="D1552" s="2" t="s">
        <v>16</v>
      </c>
      <c r="E1552" s="2" t="s">
        <v>1250</v>
      </c>
      <c r="F1552" s="2" t="s">
        <v>1303</v>
      </c>
      <c r="G1552" s="2" t="str">
        <f>"14-15/NOS-203/13"</f>
        <v>14-15/NOS-203/13</v>
      </c>
      <c r="H1552" s="2" t="str">
        <f t="shared" si="37"/>
        <v>Ugovor - narudžbenica (periodični predmet)</v>
      </c>
      <c r="I1552" s="2" t="s">
        <v>19</v>
      </c>
      <c r="J1552" s="3" t="str">
        <f>"26.590,72"</f>
        <v>26.590,72</v>
      </c>
      <c r="K1552" s="2" t="s">
        <v>717</v>
      </c>
      <c r="L1552" s="2" t="s">
        <v>1184</v>
      </c>
      <c r="M1552" s="2" t="s">
        <v>1305</v>
      </c>
      <c r="N1552" s="2" t="str">
        <f>"08.12.2015"</f>
        <v>08.12.2015</v>
      </c>
      <c r="O1552" s="3" t="str">
        <f>"26.590,72"</f>
        <v>26.590,72</v>
      </c>
      <c r="P1552" s="4"/>
    </row>
    <row r="1553" spans="2:16" ht="63" x14ac:dyDescent="0.25">
      <c r="B1553" s="2">
        <v>1319</v>
      </c>
      <c r="C1553" s="2" t="str">
        <f>"16-15/NOS-108/14"</f>
        <v>16-15/NOS-108/14</v>
      </c>
      <c r="D1553" s="2" t="s">
        <v>16</v>
      </c>
      <c r="E1553" s="2" t="s">
        <v>1250</v>
      </c>
      <c r="F1553" s="2" t="s">
        <v>41</v>
      </c>
      <c r="G1553" s="2" t="str">
        <f>"16-15/NOS-108/14"</f>
        <v>16-15/NOS-108/14</v>
      </c>
      <c r="H1553" s="2" t="str">
        <f t="shared" si="37"/>
        <v>Ugovor - narudžbenica (periodični predmet)</v>
      </c>
      <c r="I1553" s="2" t="s">
        <v>19</v>
      </c>
      <c r="J1553" s="3" t="str">
        <f>"83.411,20"</f>
        <v>83.411,20</v>
      </c>
      <c r="K1553" s="2" t="s">
        <v>717</v>
      </c>
      <c r="L1553" s="2" t="s">
        <v>1184</v>
      </c>
      <c r="M1553" s="2" t="s">
        <v>44</v>
      </c>
      <c r="N1553" s="2" t="str">
        <f>"14.01.2016"</f>
        <v>14.01.2016</v>
      </c>
      <c r="O1553" s="3" t="str">
        <f>"75.705,40"</f>
        <v>75.705,40</v>
      </c>
      <c r="P1553" s="4"/>
    </row>
    <row r="1554" spans="2:16" ht="63" x14ac:dyDescent="0.25">
      <c r="B1554" s="2">
        <v>1320</v>
      </c>
      <c r="C1554" s="2" t="str">
        <f>"11-15/NOS-60/15"</f>
        <v>11-15/NOS-60/15</v>
      </c>
      <c r="D1554" s="2" t="s">
        <v>28</v>
      </c>
      <c r="E1554" s="2" t="s">
        <v>1250</v>
      </c>
      <c r="F1554" s="2" t="s">
        <v>157</v>
      </c>
      <c r="G1554" s="2" t="str">
        <f>"11-15/NOS-60/15"</f>
        <v>11-15/NOS-60/15</v>
      </c>
      <c r="H1554" s="2" t="str">
        <f t="shared" si="37"/>
        <v>Ugovor - narudžbenica (periodični predmet)</v>
      </c>
      <c r="I1554" s="2" t="s">
        <v>19</v>
      </c>
      <c r="J1554" s="3" t="str">
        <f>"3.663,00"</f>
        <v>3.663,00</v>
      </c>
      <c r="K1554" s="2" t="s">
        <v>717</v>
      </c>
      <c r="L1554" s="2" t="s">
        <v>1184</v>
      </c>
      <c r="M1554" s="2" t="s">
        <v>44</v>
      </c>
      <c r="N1554" s="2" t="str">
        <f>"15.01.2016"</f>
        <v>15.01.2016</v>
      </c>
      <c r="O1554" s="3" t="str">
        <f>"3.483,00"</f>
        <v>3.483,00</v>
      </c>
      <c r="P1554" s="4"/>
    </row>
    <row r="1555" spans="2:16" ht="63" x14ac:dyDescent="0.25">
      <c r="B1555" s="2">
        <v>1321</v>
      </c>
      <c r="C1555" s="2" t="str">
        <f>"5-15/NOS-70-B/15"</f>
        <v>5-15/NOS-70-B/15</v>
      </c>
      <c r="D1555" s="2" t="s">
        <v>16</v>
      </c>
      <c r="E1555" s="2" t="s">
        <v>1250</v>
      </c>
      <c r="F1555" s="2" t="s">
        <v>1342</v>
      </c>
      <c r="G1555" s="2" t="str">
        <f>"5-15/NOS-70-B/15"</f>
        <v>5-15/NOS-70-B/15</v>
      </c>
      <c r="H1555" s="2" t="str">
        <f t="shared" si="37"/>
        <v>Ugovor - narudžbenica (periodični predmet)</v>
      </c>
      <c r="I1555" s="2" t="s">
        <v>19</v>
      </c>
      <c r="J1555" s="3" t="str">
        <f>"30.690,00"</f>
        <v>30.690,00</v>
      </c>
      <c r="K1555" s="2" t="s">
        <v>398</v>
      </c>
      <c r="L1555" s="2" t="s">
        <v>1184</v>
      </c>
      <c r="M1555" s="2" t="s">
        <v>508</v>
      </c>
      <c r="N1555" s="2" t="str">
        <f>"30.12.2015"</f>
        <v>30.12.2015</v>
      </c>
      <c r="O1555" s="3" t="str">
        <f>"19.740,00"</f>
        <v>19.740,00</v>
      </c>
      <c r="P1555" s="4"/>
    </row>
    <row r="1556" spans="2:16" ht="63" x14ac:dyDescent="0.25">
      <c r="B1556" s="2">
        <v>1322</v>
      </c>
      <c r="C1556" s="2" t="str">
        <f>"3-15/NOS-75-D/15"</f>
        <v>3-15/NOS-75-D/15</v>
      </c>
      <c r="D1556" s="2" t="s">
        <v>28</v>
      </c>
      <c r="E1556" s="2" t="s">
        <v>1250</v>
      </c>
      <c r="F1556" s="2" t="s">
        <v>1337</v>
      </c>
      <c r="G1556" s="2" t="str">
        <f>"3-15/NOS-75-D/15"</f>
        <v>3-15/NOS-75-D/15</v>
      </c>
      <c r="H1556" s="2" t="str">
        <f t="shared" si="37"/>
        <v>Ugovor - narudžbenica (periodični predmet)</v>
      </c>
      <c r="I1556" s="2" t="s">
        <v>19</v>
      </c>
      <c r="J1556" s="3" t="str">
        <f>"3.164,00"</f>
        <v>3.164,00</v>
      </c>
      <c r="K1556" s="2" t="s">
        <v>398</v>
      </c>
      <c r="L1556" s="2" t="s">
        <v>1184</v>
      </c>
      <c r="M1556" s="2" t="s">
        <v>612</v>
      </c>
      <c r="N1556" s="2" t="str">
        <f>"12.01.2016"</f>
        <v>12.01.2016</v>
      </c>
      <c r="O1556" s="3" t="str">
        <f>"164,00"</f>
        <v>164,00</v>
      </c>
      <c r="P1556" s="4"/>
    </row>
    <row r="1557" spans="2:16" ht="94.5" x14ac:dyDescent="0.25">
      <c r="B1557" s="2">
        <v>1323</v>
      </c>
      <c r="C1557" s="2" t="str">
        <f>"19-15/NOS-24/15"</f>
        <v>19-15/NOS-24/15</v>
      </c>
      <c r="D1557" s="2" t="s">
        <v>1401</v>
      </c>
      <c r="E1557" s="2" t="s">
        <v>1250</v>
      </c>
      <c r="F1557" s="2" t="s">
        <v>305</v>
      </c>
      <c r="G1557" s="2" t="str">
        <f>"19-15/NOS-24/15"</f>
        <v>19-15/NOS-24/15</v>
      </c>
      <c r="H1557" s="2" t="str">
        <f t="shared" si="37"/>
        <v>Ugovor - narudžbenica (periodični predmet)</v>
      </c>
      <c r="I1557" s="2" t="s">
        <v>19</v>
      </c>
      <c r="J1557" s="3" t="str">
        <f>"135.410,00"</f>
        <v>135.410,00</v>
      </c>
      <c r="K1557" s="2" t="s">
        <v>398</v>
      </c>
      <c r="L1557" s="2" t="s">
        <v>1184</v>
      </c>
      <c r="M1557" s="2" t="s">
        <v>218</v>
      </c>
      <c r="N1557" s="2" t="str">
        <f>"15.01.2016"</f>
        <v>15.01.2016</v>
      </c>
      <c r="O1557" s="3" t="str">
        <f>"134.205,00"</f>
        <v>134.205,00</v>
      </c>
      <c r="P1557" s="4"/>
    </row>
    <row r="1558" spans="2:16" ht="63" x14ac:dyDescent="0.25">
      <c r="B1558" s="2">
        <v>1324</v>
      </c>
      <c r="C1558" s="2" t="str">
        <f>"7-15/NOS-75-C/15"</f>
        <v>7-15/NOS-75-C/15</v>
      </c>
      <c r="D1558" s="2" t="s">
        <v>28</v>
      </c>
      <c r="E1558" s="2" t="s">
        <v>1250</v>
      </c>
      <c r="F1558" s="2" t="s">
        <v>1337</v>
      </c>
      <c r="G1558" s="2" t="str">
        <f>"7-15/NOS-75-C/15"</f>
        <v>7-15/NOS-75-C/15</v>
      </c>
      <c r="H1558" s="2" t="str">
        <f t="shared" si="37"/>
        <v>Ugovor - narudžbenica (periodični predmet)</v>
      </c>
      <c r="I1558" s="2" t="s">
        <v>19</v>
      </c>
      <c r="J1558" s="3" t="str">
        <f>"3.100,00"</f>
        <v>3.100,00</v>
      </c>
      <c r="K1558" s="2" t="s">
        <v>398</v>
      </c>
      <c r="L1558" s="2" t="s">
        <v>1184</v>
      </c>
      <c r="M1558" s="2" t="s">
        <v>612</v>
      </c>
      <c r="N1558" s="2" t="str">
        <f>"12.01.2016"</f>
        <v>12.01.2016</v>
      </c>
      <c r="O1558" s="3" t="str">
        <f>"1.700,00"</f>
        <v>1.700,00</v>
      </c>
      <c r="P1558" s="4"/>
    </row>
    <row r="1559" spans="2:16" ht="63" x14ac:dyDescent="0.25">
      <c r="B1559" s="2">
        <v>1325</v>
      </c>
      <c r="C1559" s="2" t="str">
        <f>"12-15/NOS-75-A/15"</f>
        <v>12-15/NOS-75-A/15</v>
      </c>
      <c r="D1559" s="2" t="s">
        <v>16</v>
      </c>
      <c r="E1559" s="2" t="s">
        <v>1250</v>
      </c>
      <c r="F1559" s="2" t="s">
        <v>1337</v>
      </c>
      <c r="G1559" s="2" t="str">
        <f>"12-15/NOS-75-A/15"</f>
        <v>12-15/NOS-75-A/15</v>
      </c>
      <c r="H1559" s="2" t="str">
        <f t="shared" si="37"/>
        <v>Ugovor - narudžbenica (periodični predmet)</v>
      </c>
      <c r="I1559" s="2" t="s">
        <v>19</v>
      </c>
      <c r="J1559" s="3" t="str">
        <f>"27.215,00"</f>
        <v>27.215,00</v>
      </c>
      <c r="K1559" s="2" t="s">
        <v>398</v>
      </c>
      <c r="L1559" s="2" t="s">
        <v>1184</v>
      </c>
      <c r="M1559" s="2" t="s">
        <v>218</v>
      </c>
      <c r="N1559" s="2" t="str">
        <f>"30.12.2015"</f>
        <v>30.12.2015</v>
      </c>
      <c r="O1559" s="3" t="str">
        <f>"5.640,00"</f>
        <v>5.640,00</v>
      </c>
      <c r="P1559" s="4"/>
    </row>
    <row r="1560" spans="2:16" ht="63" x14ac:dyDescent="0.25">
      <c r="B1560" s="2">
        <v>1326</v>
      </c>
      <c r="C1560" s="2" t="str">
        <f>"8-15/NOS-75-B/15"</f>
        <v>8-15/NOS-75-B/15</v>
      </c>
      <c r="D1560" s="2" t="s">
        <v>16</v>
      </c>
      <c r="E1560" s="2" t="s">
        <v>1250</v>
      </c>
      <c r="F1560" s="2" t="s">
        <v>1337</v>
      </c>
      <c r="G1560" s="2" t="str">
        <f>"8-15/NOS-75-B/15"</f>
        <v>8-15/NOS-75-B/15</v>
      </c>
      <c r="H1560" s="2" t="str">
        <f t="shared" si="37"/>
        <v>Ugovor - narudžbenica (periodični predmet)</v>
      </c>
      <c r="I1560" s="2" t="s">
        <v>19</v>
      </c>
      <c r="J1560" s="3" t="str">
        <f>"1.720,00"</f>
        <v>1.720,00</v>
      </c>
      <c r="K1560" s="2" t="s">
        <v>398</v>
      </c>
      <c r="L1560" s="2" t="s">
        <v>1184</v>
      </c>
      <c r="M1560" s="2" t="s">
        <v>612</v>
      </c>
      <c r="N1560" s="2" t="s">
        <v>23</v>
      </c>
      <c r="O1560" s="3" t="str">
        <f>"0,00"</f>
        <v>0,00</v>
      </c>
      <c r="P1560" s="4"/>
    </row>
    <row r="1561" spans="2:16" ht="63" x14ac:dyDescent="0.25">
      <c r="B1561" s="2">
        <v>1327</v>
      </c>
      <c r="C1561" s="2" t="str">
        <f>"13-15/NOS-92/14"</f>
        <v>13-15/NOS-92/14</v>
      </c>
      <c r="D1561" s="2" t="s">
        <v>16</v>
      </c>
      <c r="E1561" s="2" t="s">
        <v>1250</v>
      </c>
      <c r="F1561" s="2" t="s">
        <v>1389</v>
      </c>
      <c r="G1561" s="2" t="str">
        <f>"13-15/NOS-92/14"</f>
        <v>13-15/NOS-92/14</v>
      </c>
      <c r="H1561" s="2" t="str">
        <f t="shared" si="37"/>
        <v>Ugovor - narudžbenica (periodični predmet)</v>
      </c>
      <c r="I1561" s="2" t="s">
        <v>19</v>
      </c>
      <c r="J1561" s="3" t="str">
        <f>"282.199,00"</f>
        <v>282.199,00</v>
      </c>
      <c r="K1561" s="2" t="s">
        <v>398</v>
      </c>
      <c r="L1561" s="2" t="s">
        <v>1184</v>
      </c>
      <c r="M1561" s="2" t="s">
        <v>859</v>
      </c>
      <c r="N1561" s="2" t="str">
        <f>"14.12.2015"</f>
        <v>14.12.2015</v>
      </c>
      <c r="O1561" s="3" t="str">
        <f>"282.199,00"</f>
        <v>282.199,00</v>
      </c>
      <c r="P1561" s="4"/>
    </row>
    <row r="1562" spans="2:16" ht="63" x14ac:dyDescent="0.25">
      <c r="B1562" s="2">
        <v>1328</v>
      </c>
      <c r="C1562" s="2" t="str">
        <f>"28-15/NOS-97/14"</f>
        <v>28-15/NOS-97/14</v>
      </c>
      <c r="D1562" s="2" t="s">
        <v>16</v>
      </c>
      <c r="E1562" s="2" t="s">
        <v>1250</v>
      </c>
      <c r="F1562" s="2" t="s">
        <v>1285</v>
      </c>
      <c r="G1562" s="2" t="str">
        <f>"28-15/NOS-97/14"</f>
        <v>28-15/NOS-97/14</v>
      </c>
      <c r="H1562" s="2" t="str">
        <f t="shared" si="37"/>
        <v>Ugovor - narudžbenica (periodični predmet)</v>
      </c>
      <c r="I1562" s="2" t="s">
        <v>19</v>
      </c>
      <c r="J1562" s="3" t="str">
        <f>"61.635,20"</f>
        <v>61.635,20</v>
      </c>
      <c r="K1562" s="2" t="s">
        <v>398</v>
      </c>
      <c r="L1562" s="2" t="s">
        <v>1184</v>
      </c>
      <c r="M1562" s="2" t="s">
        <v>165</v>
      </c>
      <c r="N1562" s="2" t="str">
        <f>"12.01.2016"</f>
        <v>12.01.2016</v>
      </c>
      <c r="O1562" s="3" t="str">
        <f>"56.683,52"</f>
        <v>56.683,52</v>
      </c>
      <c r="P1562" s="4"/>
    </row>
    <row r="1563" spans="2:16" ht="63" x14ac:dyDescent="0.25">
      <c r="B1563" s="2">
        <v>1329</v>
      </c>
      <c r="C1563" s="2" t="str">
        <f>"9-15/NOS-104/14"</f>
        <v>9-15/NOS-104/14</v>
      </c>
      <c r="D1563" s="2" t="s">
        <v>16</v>
      </c>
      <c r="E1563" s="2" t="s">
        <v>1250</v>
      </c>
      <c r="F1563" s="2" t="s">
        <v>37</v>
      </c>
      <c r="G1563" s="2" t="str">
        <f>"9-15/NOS-104/14"</f>
        <v>9-15/NOS-104/14</v>
      </c>
      <c r="H1563" s="2" t="str">
        <f t="shared" si="37"/>
        <v>Ugovor - narudžbenica (periodični predmet)</v>
      </c>
      <c r="I1563" s="2" t="s">
        <v>19</v>
      </c>
      <c r="J1563" s="3" t="str">
        <f>"10.200,00"</f>
        <v>10.200,00</v>
      </c>
      <c r="K1563" s="2" t="s">
        <v>398</v>
      </c>
      <c r="L1563" s="2" t="s">
        <v>1184</v>
      </c>
      <c r="M1563" s="2" t="s">
        <v>40</v>
      </c>
      <c r="N1563" s="2" t="s">
        <v>23</v>
      </c>
      <c r="O1563" s="3" t="str">
        <f>"0,00"</f>
        <v>0,00</v>
      </c>
      <c r="P1563" s="4"/>
    </row>
    <row r="1564" spans="2:16" ht="63" x14ac:dyDescent="0.25">
      <c r="B1564" s="2">
        <v>1330</v>
      </c>
      <c r="C1564" s="2" t="str">
        <f>"15-15/NOS-112/14"</f>
        <v>15-15/NOS-112/14</v>
      </c>
      <c r="D1564" s="2" t="s">
        <v>16</v>
      </c>
      <c r="E1564" s="2" t="s">
        <v>1250</v>
      </c>
      <c r="F1564" s="2" t="s">
        <v>77</v>
      </c>
      <c r="G1564" s="2" t="str">
        <f>"15-15/NOS-112/14"</f>
        <v>15-15/NOS-112/14</v>
      </c>
      <c r="H1564" s="2" t="str">
        <f t="shared" si="37"/>
        <v>Ugovor - narudžbenica (periodični predmet)</v>
      </c>
      <c r="I1564" s="2" t="s">
        <v>19</v>
      </c>
      <c r="J1564" s="3" t="str">
        <f>"850,00"</f>
        <v>850,00</v>
      </c>
      <c r="K1564" s="2" t="s">
        <v>398</v>
      </c>
      <c r="L1564" s="2" t="s">
        <v>1393</v>
      </c>
      <c r="M1564" s="2" t="s">
        <v>80</v>
      </c>
      <c r="N1564" s="2" t="str">
        <f>"02.12.2015"</f>
        <v>02.12.2015</v>
      </c>
      <c r="O1564" s="3" t="str">
        <f>"850,00"</f>
        <v>850,00</v>
      </c>
      <c r="P1564" s="4"/>
    </row>
    <row r="1565" spans="2:16" ht="63" x14ac:dyDescent="0.25">
      <c r="B1565" s="2">
        <v>1331</v>
      </c>
      <c r="C1565" s="2" t="str">
        <f>"16-15/NOS-122/14"</f>
        <v>16-15/NOS-122/14</v>
      </c>
      <c r="D1565" s="2" t="s">
        <v>16</v>
      </c>
      <c r="E1565" s="2" t="s">
        <v>1250</v>
      </c>
      <c r="F1565" s="2" t="s">
        <v>58</v>
      </c>
      <c r="G1565" s="2" t="str">
        <f>"16-15/NOS-122/14"</f>
        <v>16-15/NOS-122/14</v>
      </c>
      <c r="H1565" s="2" t="str">
        <f t="shared" si="37"/>
        <v>Ugovor - narudžbenica (periodični predmet)</v>
      </c>
      <c r="I1565" s="2" t="s">
        <v>19</v>
      </c>
      <c r="J1565" s="3" t="str">
        <f>"852,00"</f>
        <v>852,00</v>
      </c>
      <c r="K1565" s="2" t="s">
        <v>398</v>
      </c>
      <c r="L1565" s="2" t="s">
        <v>1184</v>
      </c>
      <c r="M1565" s="2" t="s">
        <v>63</v>
      </c>
      <c r="N1565" s="2" t="str">
        <f>"28.12.2015"</f>
        <v>28.12.2015</v>
      </c>
      <c r="O1565" s="3" t="str">
        <f>"852,00"</f>
        <v>852,00</v>
      </c>
      <c r="P1565" s="4"/>
    </row>
    <row r="1566" spans="2:16" ht="63" x14ac:dyDescent="0.25">
      <c r="B1566" s="2">
        <v>1332</v>
      </c>
      <c r="C1566" s="2" t="str">
        <f>"16-15/NOS-67/14"</f>
        <v>16-15/NOS-67/14</v>
      </c>
      <c r="D1566" s="2" t="s">
        <v>16</v>
      </c>
      <c r="E1566" s="2" t="s">
        <v>1250</v>
      </c>
      <c r="F1566" s="2" t="s">
        <v>1314</v>
      </c>
      <c r="G1566" s="2" t="str">
        <f>"16-15/NOS-67/14"</f>
        <v>16-15/NOS-67/14</v>
      </c>
      <c r="H1566" s="2" t="str">
        <f t="shared" si="37"/>
        <v>Ugovor - narudžbenica (periodični predmet)</v>
      </c>
      <c r="I1566" s="2" t="s">
        <v>19</v>
      </c>
      <c r="J1566" s="3" t="str">
        <f>"4.951,17"</f>
        <v>4.951,17</v>
      </c>
      <c r="K1566" s="2" t="s">
        <v>1402</v>
      </c>
      <c r="L1566" s="2" t="s">
        <v>1184</v>
      </c>
      <c r="M1566" s="2" t="s">
        <v>44</v>
      </c>
      <c r="N1566" s="2" t="s">
        <v>23</v>
      </c>
      <c r="O1566" s="3" t="str">
        <f>"0,00"</f>
        <v>0,00</v>
      </c>
      <c r="P1566" s="4"/>
    </row>
    <row r="1567" spans="2:16" ht="63" x14ac:dyDescent="0.25">
      <c r="B1567" s="2">
        <v>1333</v>
      </c>
      <c r="C1567" s="2" t="str">
        <f>"13-15/NOS-70/14"</f>
        <v>13-15/NOS-70/14</v>
      </c>
      <c r="D1567" s="2" t="s">
        <v>16</v>
      </c>
      <c r="E1567" s="2" t="s">
        <v>1250</v>
      </c>
      <c r="F1567" s="2" t="s">
        <v>1287</v>
      </c>
      <c r="G1567" s="2" t="str">
        <f>"13-15/NOS-70/14"</f>
        <v>13-15/NOS-70/14</v>
      </c>
      <c r="H1567" s="2" t="str">
        <f t="shared" si="37"/>
        <v>Ugovor - narudžbenica (periodični predmet)</v>
      </c>
      <c r="I1567" s="2" t="s">
        <v>19</v>
      </c>
      <c r="J1567" s="3" t="str">
        <f>"6.800,00"</f>
        <v>6.800,00</v>
      </c>
      <c r="K1567" s="2" t="s">
        <v>1402</v>
      </c>
      <c r="L1567" s="2" t="s">
        <v>1399</v>
      </c>
      <c r="M1567" s="2" t="s">
        <v>1288</v>
      </c>
      <c r="N1567" s="2" t="s">
        <v>23</v>
      </c>
      <c r="O1567" s="3" t="str">
        <f>"0,00"</f>
        <v>0,00</v>
      </c>
      <c r="P1567" s="4"/>
    </row>
    <row r="1568" spans="2:16" ht="63" x14ac:dyDescent="0.25">
      <c r="B1568" s="2">
        <v>1334</v>
      </c>
      <c r="C1568" s="2" t="str">
        <f>"6-15/NOS-71/15"</f>
        <v>6-15/NOS-71/15</v>
      </c>
      <c r="D1568" s="2" t="s">
        <v>16</v>
      </c>
      <c r="E1568" s="2" t="s">
        <v>1250</v>
      </c>
      <c r="F1568" s="2" t="s">
        <v>575</v>
      </c>
      <c r="G1568" s="2" t="str">
        <f>"6-15/NOS-71/15"</f>
        <v>6-15/NOS-71/15</v>
      </c>
      <c r="H1568" s="2" t="str">
        <f t="shared" si="37"/>
        <v>Ugovor - narudžbenica (periodični predmet)</v>
      </c>
      <c r="I1568" s="2" t="s">
        <v>19</v>
      </c>
      <c r="J1568" s="3" t="str">
        <f>"7.368,20"</f>
        <v>7.368,20</v>
      </c>
      <c r="K1568" s="2" t="s">
        <v>1402</v>
      </c>
      <c r="L1568" s="2" t="s">
        <v>1399</v>
      </c>
      <c r="M1568" s="2" t="s">
        <v>576</v>
      </c>
      <c r="N1568" s="2" t="str">
        <f>"30.12.2015"</f>
        <v>30.12.2015</v>
      </c>
      <c r="O1568" s="3" t="str">
        <f>"7.368,20"</f>
        <v>7.368,20</v>
      </c>
      <c r="P1568" s="4"/>
    </row>
    <row r="1569" spans="2:16" ht="63" x14ac:dyDescent="0.25">
      <c r="B1569" s="2">
        <v>1335</v>
      </c>
      <c r="C1569" s="2" t="str">
        <f>"11-15/NOS-209/13"</f>
        <v>11-15/NOS-209/13</v>
      </c>
      <c r="D1569" s="2" t="s">
        <v>16</v>
      </c>
      <c r="E1569" s="2" t="s">
        <v>1250</v>
      </c>
      <c r="F1569" s="2" t="s">
        <v>1296</v>
      </c>
      <c r="G1569" s="2" t="str">
        <f>"11-15/NOS-209/13"</f>
        <v>11-15/NOS-209/13</v>
      </c>
      <c r="H1569" s="2" t="str">
        <f t="shared" si="37"/>
        <v>Ugovor - narudžbenica (periodični predmet)</v>
      </c>
      <c r="I1569" s="2" t="s">
        <v>19</v>
      </c>
      <c r="J1569" s="3" t="str">
        <f>"2.303,00"</f>
        <v>2.303,00</v>
      </c>
      <c r="K1569" s="2" t="s">
        <v>1402</v>
      </c>
      <c r="L1569" s="2" t="s">
        <v>1399</v>
      </c>
      <c r="M1569" s="2" t="s">
        <v>111</v>
      </c>
      <c r="N1569" s="2" t="s">
        <v>23</v>
      </c>
      <c r="O1569" s="3" t="str">
        <f>"0,00"</f>
        <v>0,00</v>
      </c>
      <c r="P1569" s="4"/>
    </row>
    <row r="1570" spans="2:16" ht="63" x14ac:dyDescent="0.25">
      <c r="B1570" s="2">
        <v>1336</v>
      </c>
      <c r="C1570" s="2" t="str">
        <f>"26-15/NOS-83/14"</f>
        <v>26-15/NOS-83/14</v>
      </c>
      <c r="D1570" s="2" t="s">
        <v>16</v>
      </c>
      <c r="E1570" s="2" t="s">
        <v>1250</v>
      </c>
      <c r="F1570" s="2" t="s">
        <v>1273</v>
      </c>
      <c r="G1570" s="2" t="str">
        <f>"26-15/NOS-83/14"</f>
        <v>26-15/NOS-83/14</v>
      </c>
      <c r="H1570" s="2" t="str">
        <f t="shared" si="37"/>
        <v>Ugovor - narudžbenica (periodični predmet)</v>
      </c>
      <c r="I1570" s="2" t="s">
        <v>19</v>
      </c>
      <c r="J1570" s="3" t="str">
        <f>"11.912,00"</f>
        <v>11.912,00</v>
      </c>
      <c r="K1570" s="2" t="s">
        <v>1402</v>
      </c>
      <c r="L1570" s="2" t="s">
        <v>1399</v>
      </c>
      <c r="M1570" s="2" t="s">
        <v>941</v>
      </c>
      <c r="N1570" s="2" t="str">
        <f>"29.12.2015"</f>
        <v>29.12.2015</v>
      </c>
      <c r="O1570" s="3" t="str">
        <f>"11.912,00"</f>
        <v>11.912,00</v>
      </c>
      <c r="P1570" s="4"/>
    </row>
    <row r="1571" spans="2:16" ht="63" x14ac:dyDescent="0.25">
      <c r="B1571" s="2">
        <v>1337</v>
      </c>
      <c r="C1571" s="2" t="str">
        <f>"33-15/NOS-89/14"</f>
        <v>33-15/NOS-89/14</v>
      </c>
      <c r="D1571" s="2" t="s">
        <v>28</v>
      </c>
      <c r="E1571" s="2" t="s">
        <v>1250</v>
      </c>
      <c r="F1571" s="2" t="s">
        <v>1277</v>
      </c>
      <c r="G1571" s="2" t="str">
        <f>"33-15/NOS-89/14"</f>
        <v>33-15/NOS-89/14</v>
      </c>
      <c r="H1571" s="2" t="str">
        <f t="shared" si="37"/>
        <v>Ugovor - narudžbenica (periodični predmet)</v>
      </c>
      <c r="I1571" s="2" t="s">
        <v>19</v>
      </c>
      <c r="J1571" s="3" t="str">
        <f>"15.637,20"</f>
        <v>15.637,20</v>
      </c>
      <c r="K1571" s="2" t="s">
        <v>1402</v>
      </c>
      <c r="L1571" s="2" t="s">
        <v>1399</v>
      </c>
      <c r="M1571" s="2" t="s">
        <v>868</v>
      </c>
      <c r="N1571" s="2" t="str">
        <f>"13.01.2016"</f>
        <v>13.01.2016</v>
      </c>
      <c r="O1571" s="3" t="str">
        <f>"15.637,20"</f>
        <v>15.637,20</v>
      </c>
      <c r="P1571" s="4"/>
    </row>
    <row r="1572" spans="2:16" ht="63" x14ac:dyDescent="0.25">
      <c r="B1572" s="2">
        <v>1338</v>
      </c>
      <c r="C1572" s="2" t="str">
        <f>"10-15/NOS-69/15"</f>
        <v>10-15/NOS-69/15</v>
      </c>
      <c r="D1572" s="2" t="s">
        <v>28</v>
      </c>
      <c r="E1572" s="2" t="s">
        <v>1250</v>
      </c>
      <c r="F1572" s="2" t="s">
        <v>268</v>
      </c>
      <c r="G1572" s="2" t="str">
        <f>"10-15/NOS-69/15"</f>
        <v>10-15/NOS-69/15</v>
      </c>
      <c r="H1572" s="2" t="str">
        <f t="shared" si="37"/>
        <v>Ugovor - narudžbenica (periodični predmet)</v>
      </c>
      <c r="I1572" s="2" t="s">
        <v>19</v>
      </c>
      <c r="J1572" s="3" t="str">
        <f>"3.420,00"</f>
        <v>3.420,00</v>
      </c>
      <c r="K1572" s="2" t="s">
        <v>1402</v>
      </c>
      <c r="L1572" s="2" t="s">
        <v>1399</v>
      </c>
      <c r="M1572" s="2" t="s">
        <v>269</v>
      </c>
      <c r="N1572" s="2" t="str">
        <f>"08.01.2016"</f>
        <v>08.01.2016</v>
      </c>
      <c r="O1572" s="3" t="str">
        <f>"3.420,00"</f>
        <v>3.420,00</v>
      </c>
      <c r="P1572" s="4"/>
    </row>
    <row r="1573" spans="2:16" ht="63" x14ac:dyDescent="0.25">
      <c r="B1573" s="2">
        <v>1339</v>
      </c>
      <c r="C1573" s="2" t="str">
        <f>"16-15/NOS-90/14"</f>
        <v>16-15/NOS-90/14</v>
      </c>
      <c r="D1573" s="2" t="s">
        <v>16</v>
      </c>
      <c r="E1573" s="2" t="s">
        <v>1250</v>
      </c>
      <c r="F1573" s="2" t="s">
        <v>1274</v>
      </c>
      <c r="G1573" s="2" t="str">
        <f>"16-15/NOS-90/14"</f>
        <v>16-15/NOS-90/14</v>
      </c>
      <c r="H1573" s="2" t="str">
        <f t="shared" si="37"/>
        <v>Ugovor - narudžbenica (periodični predmet)</v>
      </c>
      <c r="I1573" s="2" t="s">
        <v>19</v>
      </c>
      <c r="J1573" s="3" t="str">
        <f>"6.166,00"</f>
        <v>6.166,00</v>
      </c>
      <c r="K1573" s="2" t="s">
        <v>1402</v>
      </c>
      <c r="L1573" s="2" t="s">
        <v>1399</v>
      </c>
      <c r="M1573" s="2" t="s">
        <v>419</v>
      </c>
      <c r="N1573" s="2" t="str">
        <f>"04.12.2015"</f>
        <v>04.12.2015</v>
      </c>
      <c r="O1573" s="3" t="str">
        <f>"3.510,00"</f>
        <v>3.510,00</v>
      </c>
      <c r="P1573" s="4"/>
    </row>
    <row r="1574" spans="2:16" ht="63" x14ac:dyDescent="0.25">
      <c r="B1574" s="2">
        <v>1340</v>
      </c>
      <c r="C1574" s="2" t="str">
        <f>"7-15/NOS-119/15"</f>
        <v>7-15/NOS-119/15</v>
      </c>
      <c r="D1574" s="2" t="s">
        <v>16</v>
      </c>
      <c r="E1574" s="2" t="s">
        <v>1250</v>
      </c>
      <c r="F1574" s="2" t="s">
        <v>455</v>
      </c>
      <c r="G1574" s="2" t="str">
        <f>"7-15/NOS-119/15"</f>
        <v>7-15/NOS-119/15</v>
      </c>
      <c r="H1574" s="2" t="str">
        <f t="shared" si="37"/>
        <v>Ugovor - narudžbenica (periodični predmet)</v>
      </c>
      <c r="I1574" s="2" t="s">
        <v>19</v>
      </c>
      <c r="J1574" s="3" t="str">
        <f>"81.773,20"</f>
        <v>81.773,20</v>
      </c>
      <c r="K1574" s="2" t="s">
        <v>1402</v>
      </c>
      <c r="L1574" s="2" t="s">
        <v>1403</v>
      </c>
      <c r="M1574" s="2" t="s">
        <v>458</v>
      </c>
      <c r="N1574" s="2" t="str">
        <f>"12.01.2016"</f>
        <v>12.01.2016</v>
      </c>
      <c r="O1574" s="3" t="str">
        <f>"1.463,84"</f>
        <v>1.463,84</v>
      </c>
      <c r="P1574" s="4"/>
    </row>
    <row r="1575" spans="2:16" ht="63" x14ac:dyDescent="0.25">
      <c r="B1575" s="2">
        <v>1341</v>
      </c>
      <c r="C1575" s="2" t="str">
        <f>"5-15/NOS-63-A/15"</f>
        <v>5-15/NOS-63-A/15</v>
      </c>
      <c r="D1575" s="2" t="s">
        <v>16</v>
      </c>
      <c r="E1575" s="2" t="s">
        <v>1250</v>
      </c>
      <c r="F1575" s="2" t="s">
        <v>1338</v>
      </c>
      <c r="G1575" s="2" t="str">
        <f>"5-15/NOS-63-A/15"</f>
        <v>5-15/NOS-63-A/15</v>
      </c>
      <c r="H1575" s="2" t="str">
        <f t="shared" si="37"/>
        <v>Ugovor - narudžbenica (periodični predmet)</v>
      </c>
      <c r="I1575" s="2" t="s">
        <v>19</v>
      </c>
      <c r="J1575" s="3" t="str">
        <f>"10.595,00"</f>
        <v>10.595,00</v>
      </c>
      <c r="K1575" s="2" t="s">
        <v>1404</v>
      </c>
      <c r="L1575" s="2" t="s">
        <v>1184</v>
      </c>
      <c r="M1575" s="2" t="s">
        <v>84</v>
      </c>
      <c r="N1575" s="2" t="s">
        <v>23</v>
      </c>
      <c r="O1575" s="3" t="str">
        <f>"0,00"</f>
        <v>0,00</v>
      </c>
      <c r="P1575" s="4"/>
    </row>
    <row r="1576" spans="2:16" ht="63" x14ac:dyDescent="0.25">
      <c r="B1576" s="2">
        <v>1342</v>
      </c>
      <c r="C1576" s="2" t="str">
        <f>"11-15/NOS-19/15"</f>
        <v>11-15/NOS-19/15</v>
      </c>
      <c r="D1576" s="2" t="s">
        <v>85</v>
      </c>
      <c r="E1576" s="2" t="s">
        <v>1250</v>
      </c>
      <c r="F1576" s="2" t="s">
        <v>277</v>
      </c>
      <c r="G1576" s="2" t="str">
        <f>"11-15/NOS-19/15"</f>
        <v>11-15/NOS-19/15</v>
      </c>
      <c r="H1576" s="2" t="str">
        <f t="shared" si="37"/>
        <v>Ugovor - narudžbenica (periodični predmet)</v>
      </c>
      <c r="I1576" s="2" t="s">
        <v>19</v>
      </c>
      <c r="J1576" s="3" t="str">
        <f>"2.328,72"</f>
        <v>2.328,72</v>
      </c>
      <c r="K1576" s="2" t="s">
        <v>1404</v>
      </c>
      <c r="L1576" s="2" t="s">
        <v>1399</v>
      </c>
      <c r="M1576" s="2" t="s">
        <v>44</v>
      </c>
      <c r="N1576" s="2" t="str">
        <f>"12.01.2016"</f>
        <v>12.01.2016</v>
      </c>
      <c r="O1576" s="3" t="str">
        <f>"2.328,72"</f>
        <v>2.328,72</v>
      </c>
      <c r="P1576" s="4"/>
    </row>
    <row r="1577" spans="2:16" ht="63" x14ac:dyDescent="0.25">
      <c r="B1577" s="2">
        <v>1343</v>
      </c>
      <c r="C1577" s="2" t="str">
        <f>"12-15/NOS-35/15"</f>
        <v>12-15/NOS-35/15</v>
      </c>
      <c r="D1577" s="2" t="s">
        <v>16</v>
      </c>
      <c r="E1577" s="2" t="s">
        <v>1250</v>
      </c>
      <c r="F1577" s="2" t="s">
        <v>243</v>
      </c>
      <c r="G1577" s="2" t="str">
        <f>"12-15/NOS-35/15"</f>
        <v>12-15/NOS-35/15</v>
      </c>
      <c r="H1577" s="2" t="str">
        <f t="shared" si="37"/>
        <v>Ugovor - narudžbenica (periodični predmet)</v>
      </c>
      <c r="I1577" s="2" t="s">
        <v>19</v>
      </c>
      <c r="J1577" s="3" t="str">
        <f>"9.967,20"</f>
        <v>9.967,20</v>
      </c>
      <c r="K1577" s="2" t="s">
        <v>1404</v>
      </c>
      <c r="L1577" s="2" t="s">
        <v>1399</v>
      </c>
      <c r="M1577" s="2" t="s">
        <v>246</v>
      </c>
      <c r="N1577" s="2" t="str">
        <f>"10.12.2015"</f>
        <v>10.12.2015</v>
      </c>
      <c r="O1577" s="3" t="str">
        <f>"9.547,20"</f>
        <v>9.547,20</v>
      </c>
      <c r="P1577" s="4"/>
    </row>
    <row r="1578" spans="2:16" ht="63" x14ac:dyDescent="0.25">
      <c r="B1578" s="2">
        <v>1344</v>
      </c>
      <c r="C1578" s="2" t="str">
        <f>"8-15/NOS-83-A/15"</f>
        <v>8-15/NOS-83-A/15</v>
      </c>
      <c r="D1578" s="2" t="s">
        <v>16</v>
      </c>
      <c r="E1578" s="2" t="s">
        <v>1250</v>
      </c>
      <c r="F1578" s="2" t="s">
        <v>1340</v>
      </c>
      <c r="G1578" s="2" t="str">
        <f>"8-15/NOS-83-A/15"</f>
        <v>8-15/NOS-83-A/15</v>
      </c>
      <c r="H1578" s="2" t="str">
        <f t="shared" ref="H1578:H1601" si="38">"Ugovor - narudžbenica (periodični predmet)"</f>
        <v>Ugovor - narudžbenica (periodični predmet)</v>
      </c>
      <c r="I1578" s="2" t="s">
        <v>19</v>
      </c>
      <c r="J1578" s="3" t="str">
        <f>"1.221,00"</f>
        <v>1.221,00</v>
      </c>
      <c r="K1578" s="2" t="s">
        <v>1404</v>
      </c>
      <c r="L1578" s="2" t="s">
        <v>1399</v>
      </c>
      <c r="M1578" s="2" t="s">
        <v>565</v>
      </c>
      <c r="N1578" s="2" t="str">
        <f>"29.12.2015"</f>
        <v>29.12.2015</v>
      </c>
      <c r="O1578" s="3" t="str">
        <f>"1.221,00"</f>
        <v>1.221,00</v>
      </c>
      <c r="P1578" s="4"/>
    </row>
    <row r="1579" spans="2:16" ht="63" x14ac:dyDescent="0.25">
      <c r="B1579" s="2">
        <v>1345</v>
      </c>
      <c r="C1579" s="2" t="str">
        <f>"6-15/NOS-94/14"</f>
        <v>6-15/NOS-94/14</v>
      </c>
      <c r="D1579" s="2" t="s">
        <v>16</v>
      </c>
      <c r="E1579" s="2" t="s">
        <v>1250</v>
      </c>
      <c r="F1579" s="2" t="s">
        <v>1348</v>
      </c>
      <c r="G1579" s="2" t="str">
        <f>"6-15/NOS-94/14"</f>
        <v>6-15/NOS-94/14</v>
      </c>
      <c r="H1579" s="2" t="str">
        <f t="shared" si="38"/>
        <v>Ugovor - narudžbenica (periodični predmet)</v>
      </c>
      <c r="I1579" s="2" t="s">
        <v>19</v>
      </c>
      <c r="J1579" s="3" t="str">
        <f>"721,00"</f>
        <v>721,00</v>
      </c>
      <c r="K1579" s="2" t="s">
        <v>1404</v>
      </c>
      <c r="L1579" s="2" t="s">
        <v>1399</v>
      </c>
      <c r="M1579" s="2" t="s">
        <v>650</v>
      </c>
      <c r="N1579" s="2" t="str">
        <f>"31.12.2015"</f>
        <v>31.12.2015</v>
      </c>
      <c r="O1579" s="3" t="str">
        <f>"576,80"</f>
        <v>576,80</v>
      </c>
      <c r="P1579" s="4"/>
    </row>
    <row r="1580" spans="2:16" ht="63" x14ac:dyDescent="0.25">
      <c r="B1580" s="2">
        <v>1346</v>
      </c>
      <c r="C1580" s="2" t="str">
        <f>"7-15/NOS-110/15"</f>
        <v>7-15/NOS-110/15</v>
      </c>
      <c r="D1580" s="2" t="s">
        <v>16</v>
      </c>
      <c r="E1580" s="2" t="s">
        <v>1250</v>
      </c>
      <c r="F1580" s="2" t="s">
        <v>463</v>
      </c>
      <c r="G1580" s="2" t="str">
        <f>"7-15/NOS-110/15"</f>
        <v>7-15/NOS-110/15</v>
      </c>
      <c r="H1580" s="2" t="str">
        <f t="shared" si="38"/>
        <v>Ugovor - narudžbenica (periodični predmet)</v>
      </c>
      <c r="I1580" s="2" t="s">
        <v>19</v>
      </c>
      <c r="J1580" s="3" t="str">
        <f>"3.996,09"</f>
        <v>3.996,09</v>
      </c>
      <c r="K1580" s="2" t="s">
        <v>1402</v>
      </c>
      <c r="L1580" s="2" t="s">
        <v>1399</v>
      </c>
      <c r="M1580" s="2" t="s">
        <v>44</v>
      </c>
      <c r="N1580" s="2" t="str">
        <f>"13.01.2016"</f>
        <v>13.01.2016</v>
      </c>
      <c r="O1580" s="3" t="str">
        <f>"3.526,52"</f>
        <v>3.526,52</v>
      </c>
      <c r="P1580" s="4"/>
    </row>
    <row r="1581" spans="2:16" ht="63" x14ac:dyDescent="0.25">
      <c r="B1581" s="2">
        <v>1347</v>
      </c>
      <c r="C1581" s="2" t="str">
        <f>"18-15/NOS-111/11"</f>
        <v>18-15/NOS-111/11</v>
      </c>
      <c r="D1581" s="2" t="s">
        <v>16</v>
      </c>
      <c r="E1581" s="2" t="s">
        <v>1250</v>
      </c>
      <c r="F1581" s="2" t="s">
        <v>1371</v>
      </c>
      <c r="G1581" s="2" t="str">
        <f>"18-15/NOS-111/11"</f>
        <v>18-15/NOS-111/11</v>
      </c>
      <c r="H1581" s="2" t="str">
        <f t="shared" si="38"/>
        <v>Ugovor - narudžbenica (periodični predmet)</v>
      </c>
      <c r="I1581" s="2" t="s">
        <v>19</v>
      </c>
      <c r="J1581" s="3" t="str">
        <f>"19.800,00"</f>
        <v>19.800,00</v>
      </c>
      <c r="K1581" s="2" t="s">
        <v>1404</v>
      </c>
      <c r="L1581" s="2" t="s">
        <v>1244</v>
      </c>
      <c r="M1581" s="2" t="s">
        <v>1372</v>
      </c>
      <c r="N1581" s="2" t="s">
        <v>23</v>
      </c>
      <c r="O1581" s="3" t="str">
        <f>"0,00"</f>
        <v>0,00</v>
      </c>
      <c r="P1581" s="4"/>
    </row>
    <row r="1582" spans="2:16" ht="63" x14ac:dyDescent="0.25">
      <c r="B1582" s="2">
        <v>1348</v>
      </c>
      <c r="C1582" s="2" t="str">
        <f>"17-15/NOS-112/14"</f>
        <v>17-15/NOS-112/14</v>
      </c>
      <c r="D1582" s="2" t="s">
        <v>16</v>
      </c>
      <c r="E1582" s="2" t="s">
        <v>1250</v>
      </c>
      <c r="F1582" s="2" t="s">
        <v>77</v>
      </c>
      <c r="G1582" s="2" t="str">
        <f>"17-15/NOS-112/14"</f>
        <v>17-15/NOS-112/14</v>
      </c>
      <c r="H1582" s="2" t="str">
        <f t="shared" si="38"/>
        <v>Ugovor - narudžbenica (periodični predmet)</v>
      </c>
      <c r="I1582" s="2" t="s">
        <v>19</v>
      </c>
      <c r="J1582" s="3" t="str">
        <f>"7.500,00"</f>
        <v>7.500,00</v>
      </c>
      <c r="K1582" s="2" t="s">
        <v>1405</v>
      </c>
      <c r="L1582" s="2" t="s">
        <v>1399</v>
      </c>
      <c r="M1582" s="2" t="s">
        <v>80</v>
      </c>
      <c r="N1582" s="2" t="str">
        <f>"08.12.2015"</f>
        <v>08.12.2015</v>
      </c>
      <c r="O1582" s="3" t="str">
        <f>"7.500,00"</f>
        <v>7.500,00</v>
      </c>
      <c r="P1582" s="4"/>
    </row>
    <row r="1583" spans="2:16" ht="63" x14ac:dyDescent="0.25">
      <c r="B1583" s="2">
        <v>1349</v>
      </c>
      <c r="C1583" s="2" t="str">
        <f>"7-15/NOS-167/13"</f>
        <v>7-15/NOS-167/13</v>
      </c>
      <c r="D1583" s="2" t="s">
        <v>16</v>
      </c>
      <c r="E1583" s="2" t="s">
        <v>1250</v>
      </c>
      <c r="F1583" s="2" t="s">
        <v>1377</v>
      </c>
      <c r="G1583" s="2" t="str">
        <f>"7-15/NOS-167/13"</f>
        <v>7-15/NOS-167/13</v>
      </c>
      <c r="H1583" s="2" t="str">
        <f t="shared" si="38"/>
        <v>Ugovor - narudžbenica (periodični predmet)</v>
      </c>
      <c r="I1583" s="2" t="s">
        <v>19</v>
      </c>
      <c r="J1583" s="3" t="str">
        <f>"974,10"</f>
        <v>974,10</v>
      </c>
      <c r="K1583" s="2" t="s">
        <v>1405</v>
      </c>
      <c r="L1583" s="2" t="s">
        <v>1399</v>
      </c>
      <c r="M1583" s="2" t="s">
        <v>270</v>
      </c>
      <c r="N1583" s="2" t="str">
        <f>"16.12.2015"</f>
        <v>16.12.2015</v>
      </c>
      <c r="O1583" s="3" t="str">
        <f>"604,10"</f>
        <v>604,10</v>
      </c>
      <c r="P1583" s="4"/>
    </row>
    <row r="1584" spans="2:16" ht="63" x14ac:dyDescent="0.25">
      <c r="B1584" s="2">
        <v>1350</v>
      </c>
      <c r="C1584" s="2" t="str">
        <f>"20-15/NOS-24/15"</f>
        <v>20-15/NOS-24/15</v>
      </c>
      <c r="D1584" s="2" t="s">
        <v>242</v>
      </c>
      <c r="E1584" s="2" t="s">
        <v>1250</v>
      </c>
      <c r="F1584" s="2" t="s">
        <v>305</v>
      </c>
      <c r="G1584" s="2" t="str">
        <f>"20-15/NOS-24/15"</f>
        <v>20-15/NOS-24/15</v>
      </c>
      <c r="H1584" s="2" t="str">
        <f t="shared" si="38"/>
        <v>Ugovor - narudžbenica (periodični predmet)</v>
      </c>
      <c r="I1584" s="2" t="s">
        <v>19</v>
      </c>
      <c r="J1584" s="3" t="str">
        <f>"77.653,50"</f>
        <v>77.653,50</v>
      </c>
      <c r="K1584" s="2" t="s">
        <v>1405</v>
      </c>
      <c r="L1584" s="2" t="s">
        <v>1403</v>
      </c>
      <c r="M1584" s="2" t="s">
        <v>218</v>
      </c>
      <c r="N1584" s="2" t="str">
        <f>"15.01.2016"</f>
        <v>15.01.2016</v>
      </c>
      <c r="O1584" s="3" t="str">
        <f>"26.011,50"</f>
        <v>26.011,50</v>
      </c>
      <c r="P1584" s="4"/>
    </row>
    <row r="1585" spans="2:16" ht="63" x14ac:dyDescent="0.25">
      <c r="B1585" s="2">
        <v>1351</v>
      </c>
      <c r="C1585" s="2" t="str">
        <f>"17-15/NOS-32/14"</f>
        <v>17-15/NOS-32/14</v>
      </c>
      <c r="D1585" s="2" t="s">
        <v>16</v>
      </c>
      <c r="E1585" s="2" t="s">
        <v>1250</v>
      </c>
      <c r="F1585" s="2" t="s">
        <v>1365</v>
      </c>
      <c r="G1585" s="2" t="str">
        <f>"17-15/NOS-32/14"</f>
        <v>17-15/NOS-32/14</v>
      </c>
      <c r="H1585" s="2" t="str">
        <f t="shared" si="38"/>
        <v>Ugovor - narudžbenica (periodični predmet)</v>
      </c>
      <c r="I1585" s="2" t="s">
        <v>19</v>
      </c>
      <c r="J1585" s="3" t="str">
        <f>"13.516,20"</f>
        <v>13.516,20</v>
      </c>
      <c r="K1585" s="2" t="s">
        <v>1405</v>
      </c>
      <c r="L1585" s="2" t="s">
        <v>1399</v>
      </c>
      <c r="M1585" s="2" t="s">
        <v>1366</v>
      </c>
      <c r="N1585" s="2" t="s">
        <v>23</v>
      </c>
      <c r="O1585" s="3" t="str">
        <f>"0,00"</f>
        <v>0,00</v>
      </c>
      <c r="P1585" s="4"/>
    </row>
    <row r="1586" spans="2:16" ht="63" x14ac:dyDescent="0.25">
      <c r="B1586" s="2">
        <v>1352</v>
      </c>
      <c r="C1586" s="2" t="str">
        <f>"17-15/NOS-56/14"</f>
        <v>17-15/NOS-56/14</v>
      </c>
      <c r="D1586" s="2" t="s">
        <v>28</v>
      </c>
      <c r="E1586" s="2" t="s">
        <v>1250</v>
      </c>
      <c r="F1586" s="2" t="s">
        <v>1286</v>
      </c>
      <c r="G1586" s="2" t="str">
        <f>"17-15/NOS-56/14"</f>
        <v>17-15/NOS-56/14</v>
      </c>
      <c r="H1586" s="2" t="str">
        <f t="shared" si="38"/>
        <v>Ugovor - narudžbenica (periodični predmet)</v>
      </c>
      <c r="I1586" s="2" t="s">
        <v>19</v>
      </c>
      <c r="J1586" s="3" t="str">
        <f>"4.815,00"</f>
        <v>4.815,00</v>
      </c>
      <c r="K1586" s="2" t="s">
        <v>1405</v>
      </c>
      <c r="L1586" s="2" t="s">
        <v>1399</v>
      </c>
      <c r="M1586" s="2" t="s">
        <v>715</v>
      </c>
      <c r="N1586" s="2" t="s">
        <v>23</v>
      </c>
      <c r="O1586" s="3" t="str">
        <f>"0,00"</f>
        <v>0,00</v>
      </c>
      <c r="P1586" s="4"/>
    </row>
    <row r="1587" spans="2:16" ht="63" x14ac:dyDescent="0.25">
      <c r="B1587" s="2">
        <v>1353</v>
      </c>
      <c r="C1587" s="2" t="str">
        <f>"8-15/NOS-62/15"</f>
        <v>8-15/NOS-62/15</v>
      </c>
      <c r="D1587" s="2" t="s">
        <v>16</v>
      </c>
      <c r="E1587" s="2" t="s">
        <v>1250</v>
      </c>
      <c r="F1587" s="2" t="s">
        <v>211</v>
      </c>
      <c r="G1587" s="2" t="str">
        <f>"8-15/NOS-62/15"</f>
        <v>8-15/NOS-62/15</v>
      </c>
      <c r="H1587" s="2" t="str">
        <f t="shared" si="38"/>
        <v>Ugovor - narudžbenica (periodični predmet)</v>
      </c>
      <c r="I1587" s="2" t="s">
        <v>19</v>
      </c>
      <c r="J1587" s="3" t="str">
        <f>"2.600,00"</f>
        <v>2.600,00</v>
      </c>
      <c r="K1587" s="2" t="s">
        <v>1405</v>
      </c>
      <c r="L1587" s="2" t="s">
        <v>1399</v>
      </c>
      <c r="M1587" s="2" t="s">
        <v>213</v>
      </c>
      <c r="N1587" s="2" t="s">
        <v>23</v>
      </c>
      <c r="O1587" s="3" t="str">
        <f>"0,00"</f>
        <v>0,00</v>
      </c>
      <c r="P1587" s="4"/>
    </row>
    <row r="1588" spans="2:16" ht="63" x14ac:dyDescent="0.25">
      <c r="B1588" s="2">
        <v>1354</v>
      </c>
      <c r="C1588" s="2" t="str">
        <f>"11-15/NOS-70-A/15"</f>
        <v>11-15/NOS-70-A/15</v>
      </c>
      <c r="D1588" s="2" t="s">
        <v>16</v>
      </c>
      <c r="E1588" s="2" t="s">
        <v>1250</v>
      </c>
      <c r="F1588" s="2" t="s">
        <v>1342</v>
      </c>
      <c r="G1588" s="2" t="str">
        <f>"11-15/NOS-70-A/15"</f>
        <v>11-15/NOS-70-A/15</v>
      </c>
      <c r="H1588" s="2" t="str">
        <f t="shared" si="38"/>
        <v>Ugovor - narudžbenica (periodični predmet)</v>
      </c>
      <c r="I1588" s="2" t="s">
        <v>19</v>
      </c>
      <c r="J1588" s="3" t="str">
        <f>"5.492,00"</f>
        <v>5.492,00</v>
      </c>
      <c r="K1588" s="2" t="s">
        <v>1405</v>
      </c>
      <c r="L1588" s="2" t="s">
        <v>1399</v>
      </c>
      <c r="M1588" s="2" t="s">
        <v>508</v>
      </c>
      <c r="N1588" s="2" t="str">
        <f>"30.12.2015"</f>
        <v>30.12.2015</v>
      </c>
      <c r="O1588" s="3" t="str">
        <f>"5.492,00"</f>
        <v>5.492,00</v>
      </c>
      <c r="P1588" s="4"/>
    </row>
    <row r="1589" spans="2:16" ht="63" x14ac:dyDescent="0.25">
      <c r="B1589" s="2">
        <v>1355</v>
      </c>
      <c r="C1589" s="2" t="str">
        <f>"13-15/NOS-99/14"</f>
        <v>13-15/NOS-99/14</v>
      </c>
      <c r="D1589" s="2" t="s">
        <v>16</v>
      </c>
      <c r="E1589" s="2" t="s">
        <v>1250</v>
      </c>
      <c r="F1589" s="2" t="s">
        <v>31</v>
      </c>
      <c r="G1589" s="2" t="str">
        <f>"13-15/NOS-99/14"</f>
        <v>13-15/NOS-99/14</v>
      </c>
      <c r="H1589" s="2" t="str">
        <f t="shared" si="38"/>
        <v>Ugovor - narudžbenica (periodični predmet)</v>
      </c>
      <c r="I1589" s="2" t="s">
        <v>19</v>
      </c>
      <c r="J1589" s="3" t="str">
        <f>"15.677,76"</f>
        <v>15.677,76</v>
      </c>
      <c r="K1589" s="2" t="s">
        <v>1405</v>
      </c>
      <c r="L1589" s="2" t="s">
        <v>1399</v>
      </c>
      <c r="M1589" s="2" t="s">
        <v>34</v>
      </c>
      <c r="N1589" s="2" t="s">
        <v>23</v>
      </c>
      <c r="O1589" s="3" t="str">
        <f>"0,00"</f>
        <v>0,00</v>
      </c>
      <c r="P1589" s="4"/>
    </row>
    <row r="1590" spans="2:16" ht="63" x14ac:dyDescent="0.25">
      <c r="B1590" s="2">
        <v>1356</v>
      </c>
      <c r="C1590" s="2" t="str">
        <f>"7-15/NOS-35/14"</f>
        <v>7-15/NOS-35/14</v>
      </c>
      <c r="D1590" s="2" t="s">
        <v>16</v>
      </c>
      <c r="E1590" s="2" t="s">
        <v>1250</v>
      </c>
      <c r="F1590" s="2" t="s">
        <v>1281</v>
      </c>
      <c r="G1590" s="2" t="str">
        <f>"7-15/NOS-35/14"</f>
        <v>7-15/NOS-35/14</v>
      </c>
      <c r="H1590" s="2" t="str">
        <f t="shared" si="38"/>
        <v>Ugovor - narudžbenica (periodični predmet)</v>
      </c>
      <c r="I1590" s="2" t="s">
        <v>19</v>
      </c>
      <c r="J1590" s="3" t="str">
        <f>"5.150,00"</f>
        <v>5.150,00</v>
      </c>
      <c r="K1590" s="2" t="s">
        <v>1203</v>
      </c>
      <c r="L1590" s="2" t="s">
        <v>1403</v>
      </c>
      <c r="M1590" s="2" t="s">
        <v>957</v>
      </c>
      <c r="N1590" s="2" t="s">
        <v>23</v>
      </c>
      <c r="O1590" s="3" t="str">
        <f>"0,00"</f>
        <v>0,00</v>
      </c>
      <c r="P1590" s="4"/>
    </row>
    <row r="1591" spans="2:16" ht="63" x14ac:dyDescent="0.25">
      <c r="B1591" s="2">
        <v>1357</v>
      </c>
      <c r="C1591" s="2" t="str">
        <f>"7-15/NOS-95/15"</f>
        <v>7-15/NOS-95/15</v>
      </c>
      <c r="D1591" s="2" t="s">
        <v>16</v>
      </c>
      <c r="E1591" s="2" t="s">
        <v>1250</v>
      </c>
      <c r="F1591" s="2" t="s">
        <v>510</v>
      </c>
      <c r="G1591" s="2" t="str">
        <f>"7-15/NOS-95/15"</f>
        <v>7-15/NOS-95/15</v>
      </c>
      <c r="H1591" s="2" t="str">
        <f t="shared" si="38"/>
        <v>Ugovor - narudžbenica (periodični predmet)</v>
      </c>
      <c r="I1591" s="2" t="s">
        <v>19</v>
      </c>
      <c r="J1591" s="3" t="str">
        <f>"4.296,00"</f>
        <v>4.296,00</v>
      </c>
      <c r="K1591" s="2" t="s">
        <v>1203</v>
      </c>
      <c r="L1591" s="2" t="s">
        <v>1403</v>
      </c>
      <c r="M1591" s="2" t="s">
        <v>73</v>
      </c>
      <c r="N1591" s="2" t="str">
        <f>"05.01.2016"</f>
        <v>05.01.2016</v>
      </c>
      <c r="O1591" s="3" t="str">
        <f>"4.296,00"</f>
        <v>4.296,00</v>
      </c>
      <c r="P1591" s="4"/>
    </row>
    <row r="1592" spans="2:16" ht="63" x14ac:dyDescent="0.25">
      <c r="B1592" s="2">
        <v>1358</v>
      </c>
      <c r="C1592" s="2" t="str">
        <f>"7-15/NOS-100-C/15"</f>
        <v>7-15/NOS-100-C/15</v>
      </c>
      <c r="D1592" s="2" t="s">
        <v>16</v>
      </c>
      <c r="E1592" s="2" t="s">
        <v>1250</v>
      </c>
      <c r="F1592" s="2" t="s">
        <v>1255</v>
      </c>
      <c r="G1592" s="2" t="str">
        <f>"7-15/NOS-100-C/15"</f>
        <v>7-15/NOS-100-C/15</v>
      </c>
      <c r="H1592" s="2" t="str">
        <f t="shared" si="38"/>
        <v>Ugovor - narudžbenica (periodični predmet)</v>
      </c>
      <c r="I1592" s="2" t="s">
        <v>19</v>
      </c>
      <c r="J1592" s="3" t="str">
        <f>"317,65"</f>
        <v>317,65</v>
      </c>
      <c r="K1592" s="2" t="s">
        <v>1203</v>
      </c>
      <c r="L1592" s="2" t="s">
        <v>1403</v>
      </c>
      <c r="M1592" s="2" t="s">
        <v>44</v>
      </c>
      <c r="N1592" s="2" t="s">
        <v>23</v>
      </c>
      <c r="O1592" s="3" t="str">
        <f>"0,00"</f>
        <v>0,00</v>
      </c>
      <c r="P1592" s="4"/>
    </row>
    <row r="1593" spans="2:16" ht="63" x14ac:dyDescent="0.25">
      <c r="B1593" s="2">
        <v>1359</v>
      </c>
      <c r="C1593" s="2" t="str">
        <f>"9-15/NOS-100-A/15"</f>
        <v>9-15/NOS-100-A/15</v>
      </c>
      <c r="D1593" s="2" t="s">
        <v>188</v>
      </c>
      <c r="E1593" s="2" t="s">
        <v>1250</v>
      </c>
      <c r="F1593" s="2" t="s">
        <v>1255</v>
      </c>
      <c r="G1593" s="2" t="str">
        <f>"9-15/NOS-100-A/15"</f>
        <v>9-15/NOS-100-A/15</v>
      </c>
      <c r="H1593" s="2" t="str">
        <f t="shared" si="38"/>
        <v>Ugovor - narudžbenica (periodični predmet)</v>
      </c>
      <c r="I1593" s="2" t="s">
        <v>19</v>
      </c>
      <c r="J1593" s="3" t="str">
        <f>"3.700,00"</f>
        <v>3.700,00</v>
      </c>
      <c r="K1593" s="2" t="s">
        <v>1203</v>
      </c>
      <c r="L1593" s="2" t="s">
        <v>1403</v>
      </c>
      <c r="M1593" s="2" t="s">
        <v>269</v>
      </c>
      <c r="N1593" s="2" t="str">
        <f>"11.01.2016"</f>
        <v>11.01.2016</v>
      </c>
      <c r="O1593" s="3" t="str">
        <f>"3.700,00"</f>
        <v>3.700,00</v>
      </c>
      <c r="P1593" s="4"/>
    </row>
    <row r="1594" spans="2:16" ht="63" x14ac:dyDescent="0.25">
      <c r="B1594" s="2">
        <v>1360</v>
      </c>
      <c r="C1594" s="2" t="str">
        <f>"14-15/NOS-121-C/14"</f>
        <v>14-15/NOS-121-C/14</v>
      </c>
      <c r="D1594" s="2" t="s">
        <v>16</v>
      </c>
      <c r="E1594" s="2" t="s">
        <v>1250</v>
      </c>
      <c r="F1594" s="2" t="s">
        <v>1316</v>
      </c>
      <c r="G1594" s="2" t="str">
        <f>"14-15/NOS-121-C/14"</f>
        <v>14-15/NOS-121-C/14</v>
      </c>
      <c r="H1594" s="2" t="str">
        <f t="shared" si="38"/>
        <v>Ugovor - narudžbenica (periodični predmet)</v>
      </c>
      <c r="I1594" s="2" t="s">
        <v>19</v>
      </c>
      <c r="J1594" s="3" t="str">
        <f>"41.277,60"</f>
        <v>41.277,60</v>
      </c>
      <c r="K1594" s="2" t="s">
        <v>1203</v>
      </c>
      <c r="L1594" s="2" t="s">
        <v>1403</v>
      </c>
      <c r="M1594" s="2" t="s">
        <v>599</v>
      </c>
      <c r="N1594" s="2" t="str">
        <f>"30.12.2015"</f>
        <v>30.12.2015</v>
      </c>
      <c r="O1594" s="3" t="str">
        <f>"41.277,60"</f>
        <v>41.277,60</v>
      </c>
      <c r="P1594" s="4"/>
    </row>
    <row r="1595" spans="2:16" ht="63" x14ac:dyDescent="0.25">
      <c r="B1595" s="2">
        <v>1361</v>
      </c>
      <c r="C1595" s="2" t="str">
        <f>"8-15/NOS-67/15"</f>
        <v>8-15/NOS-67/15</v>
      </c>
      <c r="D1595" s="2" t="s">
        <v>16</v>
      </c>
      <c r="E1595" s="2" t="s">
        <v>1250</v>
      </c>
      <c r="F1595" s="2" t="s">
        <v>511</v>
      </c>
      <c r="G1595" s="2" t="str">
        <f>"8-15/NOS-67/15"</f>
        <v>8-15/NOS-67/15</v>
      </c>
      <c r="H1595" s="2" t="str">
        <f t="shared" si="38"/>
        <v>Ugovor - narudžbenica (periodični predmet)</v>
      </c>
      <c r="I1595" s="2" t="s">
        <v>19</v>
      </c>
      <c r="J1595" s="3" t="str">
        <f>"1.941,79"</f>
        <v>1.941,79</v>
      </c>
      <c r="K1595" s="2" t="s">
        <v>1405</v>
      </c>
      <c r="L1595" s="2" t="s">
        <v>1399</v>
      </c>
      <c r="M1595" s="2" t="s">
        <v>512</v>
      </c>
      <c r="N1595" s="2" t="str">
        <f>"30.12.2015"</f>
        <v>30.12.2015</v>
      </c>
      <c r="O1595" s="3" t="str">
        <f>"1.941,79"</f>
        <v>1.941,79</v>
      </c>
      <c r="P1595" s="4"/>
    </row>
    <row r="1596" spans="2:16" ht="63" x14ac:dyDescent="0.25">
      <c r="B1596" s="2">
        <v>1362</v>
      </c>
      <c r="C1596" s="2" t="str">
        <f>"1-15/NOS-130/15"</f>
        <v>1-15/NOS-130/15</v>
      </c>
      <c r="D1596" s="2" t="s">
        <v>16</v>
      </c>
      <c r="E1596" s="2" t="s">
        <v>1250</v>
      </c>
      <c r="F1596" s="2" t="s">
        <v>536</v>
      </c>
      <c r="G1596" s="2" t="str">
        <f>"1-15/NOS-130/15"</f>
        <v>1-15/NOS-130/15</v>
      </c>
      <c r="H1596" s="2" t="str">
        <f t="shared" si="38"/>
        <v>Ugovor - narudžbenica (periodični predmet)</v>
      </c>
      <c r="I1596" s="2" t="s">
        <v>19</v>
      </c>
      <c r="J1596" s="3" t="str">
        <f>"1.750,10"</f>
        <v>1.750,10</v>
      </c>
      <c r="K1596" s="2" t="s">
        <v>1203</v>
      </c>
      <c r="L1596" s="2" t="s">
        <v>1403</v>
      </c>
      <c r="M1596" s="2" t="s">
        <v>44</v>
      </c>
      <c r="N1596" s="2" t="str">
        <f>"12.01.2016"</f>
        <v>12.01.2016</v>
      </c>
      <c r="O1596" s="3" t="str">
        <f>"1.718,23"</f>
        <v>1.718,23</v>
      </c>
      <c r="P1596" s="4"/>
    </row>
    <row r="1597" spans="2:16" ht="63" x14ac:dyDescent="0.25">
      <c r="B1597" s="2">
        <v>1363</v>
      </c>
      <c r="C1597" s="2" t="str">
        <f>"43-15/NOS-29/12"</f>
        <v>43-15/NOS-29/12</v>
      </c>
      <c r="D1597" s="2" t="s">
        <v>85</v>
      </c>
      <c r="E1597" s="2" t="s">
        <v>1250</v>
      </c>
      <c r="F1597" s="2" t="s">
        <v>1269</v>
      </c>
      <c r="G1597" s="2" t="str">
        <f>"43-15/NOS-29/12"</f>
        <v>43-15/NOS-29/12</v>
      </c>
      <c r="H1597" s="2" t="str">
        <f t="shared" si="38"/>
        <v>Ugovor - narudžbenica (periodični predmet)</v>
      </c>
      <c r="I1597" s="2" t="s">
        <v>19</v>
      </c>
      <c r="J1597" s="3" t="str">
        <f>"42.399,00"</f>
        <v>42.399,00</v>
      </c>
      <c r="K1597" s="2" t="s">
        <v>1203</v>
      </c>
      <c r="L1597" s="2" t="s">
        <v>408</v>
      </c>
      <c r="M1597" s="2" t="s">
        <v>1299</v>
      </c>
      <c r="N1597" s="2" t="s">
        <v>23</v>
      </c>
      <c r="O1597" s="3" t="str">
        <f>"0,00"</f>
        <v>0,00</v>
      </c>
      <c r="P1597" s="4"/>
    </row>
    <row r="1598" spans="2:16" ht="63" x14ac:dyDescent="0.25">
      <c r="B1598" s="2">
        <v>1364</v>
      </c>
      <c r="C1598" s="2" t="str">
        <f>"15-15/NOS-203/13"</f>
        <v>15-15/NOS-203/13</v>
      </c>
      <c r="D1598" s="2" t="s">
        <v>16</v>
      </c>
      <c r="E1598" s="2" t="s">
        <v>1250</v>
      </c>
      <c r="F1598" s="2" t="s">
        <v>1303</v>
      </c>
      <c r="G1598" s="2" t="str">
        <f>"15-15/NOS-203/13"</f>
        <v>15-15/NOS-203/13</v>
      </c>
      <c r="H1598" s="2" t="str">
        <f t="shared" si="38"/>
        <v>Ugovor - narudžbenica (periodični predmet)</v>
      </c>
      <c r="I1598" s="2" t="s">
        <v>19</v>
      </c>
      <c r="J1598" s="3" t="str">
        <f>"11.143,07"</f>
        <v>11.143,07</v>
      </c>
      <c r="K1598" s="2" t="s">
        <v>1205</v>
      </c>
      <c r="L1598" s="2" t="s">
        <v>1403</v>
      </c>
      <c r="M1598" s="2" t="s">
        <v>1305</v>
      </c>
      <c r="N1598" s="2" t="str">
        <f>"21.12.2015"</f>
        <v>21.12.2015</v>
      </c>
      <c r="O1598" s="3" t="str">
        <f>"11.143,07"</f>
        <v>11.143,07</v>
      </c>
      <c r="P1598" s="4"/>
    </row>
    <row r="1599" spans="2:16" ht="63" x14ac:dyDescent="0.25">
      <c r="B1599" s="2">
        <v>1365</v>
      </c>
      <c r="C1599" s="2" t="str">
        <f>"7-15/NOS-210-D/13"</f>
        <v>7-15/NOS-210-D/13</v>
      </c>
      <c r="D1599" s="2" t="s">
        <v>85</v>
      </c>
      <c r="E1599" s="2" t="s">
        <v>1250</v>
      </c>
      <c r="F1599" s="2" t="s">
        <v>1294</v>
      </c>
      <c r="G1599" s="2" t="str">
        <f>"7-15/NOS-210-D/13"</f>
        <v>7-15/NOS-210-D/13</v>
      </c>
      <c r="H1599" s="2" t="str">
        <f t="shared" si="38"/>
        <v>Ugovor - narudžbenica (periodični predmet)</v>
      </c>
      <c r="I1599" s="2" t="s">
        <v>19</v>
      </c>
      <c r="J1599" s="3" t="str">
        <f>"64.549,00"</f>
        <v>64.549,00</v>
      </c>
      <c r="K1599" s="2" t="s">
        <v>1205</v>
      </c>
      <c r="L1599" s="2" t="s">
        <v>1403</v>
      </c>
      <c r="M1599" s="2" t="s">
        <v>1293</v>
      </c>
      <c r="N1599" s="2" t="str">
        <f>"11.01.2016"</f>
        <v>11.01.2016</v>
      </c>
      <c r="O1599" s="3" t="str">
        <f>"17.155,00"</f>
        <v>17.155,00</v>
      </c>
      <c r="P1599" s="4"/>
    </row>
    <row r="1600" spans="2:16" ht="63" x14ac:dyDescent="0.25">
      <c r="B1600" s="2">
        <v>1366</v>
      </c>
      <c r="C1600" s="2" t="str">
        <f>"12-15/NOS-60/15"</f>
        <v>12-15/NOS-60/15</v>
      </c>
      <c r="D1600" s="2" t="s">
        <v>28</v>
      </c>
      <c r="E1600" s="2" t="s">
        <v>1250</v>
      </c>
      <c r="F1600" s="2" t="s">
        <v>157</v>
      </c>
      <c r="G1600" s="2" t="str">
        <f>"12-15/NOS-60/15"</f>
        <v>12-15/NOS-60/15</v>
      </c>
      <c r="H1600" s="2" t="str">
        <f t="shared" si="38"/>
        <v>Ugovor - narudžbenica (periodični predmet)</v>
      </c>
      <c r="I1600" s="2" t="s">
        <v>19</v>
      </c>
      <c r="J1600" s="3" t="str">
        <f>"15.528,80"</f>
        <v>15.528,80</v>
      </c>
      <c r="K1600" s="2" t="s">
        <v>1205</v>
      </c>
      <c r="L1600" s="2" t="s">
        <v>1403</v>
      </c>
      <c r="M1600" s="2" t="s">
        <v>160</v>
      </c>
      <c r="N1600" s="2" t="str">
        <f>"11.01.2016"</f>
        <v>11.01.2016</v>
      </c>
      <c r="O1600" s="3" t="str">
        <f>"11.674,80"</f>
        <v>11.674,80</v>
      </c>
      <c r="P1600" s="4"/>
    </row>
    <row r="1601" spans="2:16" s="15" customFormat="1" ht="110.25" hidden="1" customHeight="1" x14ac:dyDescent="0.25">
      <c r="B1601" s="32">
        <v>1367</v>
      </c>
      <c r="C1601" s="32" t="str">
        <f>"6-15/NOS-63-A/15"</f>
        <v>6-15/NOS-63-A/15</v>
      </c>
      <c r="D1601" s="32" t="s">
        <v>28</v>
      </c>
      <c r="E1601" s="32" t="s">
        <v>1250</v>
      </c>
      <c r="F1601" s="32" t="s">
        <v>1338</v>
      </c>
      <c r="G1601" s="32" t="str">
        <f>"6-15/NOS-63-A/15"</f>
        <v>6-15/NOS-63-A/15</v>
      </c>
      <c r="H1601" s="32" t="str">
        <f t="shared" si="38"/>
        <v>Ugovor - narudžbenica (periodični predmet)</v>
      </c>
      <c r="I1601" s="32" t="s">
        <v>19</v>
      </c>
      <c r="J1601" s="40" t="str">
        <f>"15.318,45"</f>
        <v>15.318,45</v>
      </c>
      <c r="K1601" s="32" t="s">
        <v>1205</v>
      </c>
      <c r="L1601" s="32" t="s">
        <v>1403</v>
      </c>
      <c r="M1601" s="32" t="s">
        <v>164</v>
      </c>
      <c r="N1601" s="32" t="str">
        <f>"13.01.2016"</f>
        <v>13.01.2016</v>
      </c>
      <c r="O1601" s="40" t="str">
        <f>"15.478,91"</f>
        <v>15.478,91</v>
      </c>
      <c r="P1601" s="20" t="s">
        <v>697</v>
      </c>
    </row>
    <row r="1602" spans="2:16" s="15" customFormat="1" ht="2.25" hidden="1" customHeight="1" x14ac:dyDescent="0.25">
      <c r="B1602" s="33"/>
      <c r="C1602" s="33"/>
      <c r="D1602" s="33"/>
      <c r="E1602" s="33"/>
      <c r="F1602" s="33"/>
      <c r="G1602" s="33"/>
      <c r="H1602" s="33"/>
      <c r="I1602" s="33"/>
      <c r="J1602" s="41"/>
      <c r="K1602" s="33"/>
      <c r="L1602" s="33"/>
      <c r="M1602" s="33"/>
      <c r="N1602" s="33"/>
      <c r="O1602" s="41"/>
      <c r="P1602" s="30"/>
    </row>
    <row r="1603" spans="2:16" ht="63" x14ac:dyDescent="0.25">
      <c r="B1603" s="2">
        <v>1368</v>
      </c>
      <c r="C1603" s="2" t="str">
        <f>"12-15/NOS-70-A/15"</f>
        <v>12-15/NOS-70-A/15</v>
      </c>
      <c r="D1603" s="2" t="s">
        <v>16</v>
      </c>
      <c r="E1603" s="2" t="s">
        <v>1250</v>
      </c>
      <c r="F1603" s="2" t="s">
        <v>1342</v>
      </c>
      <c r="G1603" s="2" t="str">
        <f>"12-15/NOS-70-A/15"</f>
        <v>12-15/NOS-70-A/15</v>
      </c>
      <c r="H1603" s="2" t="str">
        <f t="shared" ref="H1603:H1633" si="39">"Ugovor - narudžbenica (periodični predmet)"</f>
        <v>Ugovor - narudžbenica (periodični predmet)</v>
      </c>
      <c r="I1603" s="2" t="s">
        <v>19</v>
      </c>
      <c r="J1603" s="3" t="str">
        <f>"10.400,78"</f>
        <v>10.400,78</v>
      </c>
      <c r="K1603" s="2" t="s">
        <v>1205</v>
      </c>
      <c r="L1603" s="2" t="s">
        <v>1403</v>
      </c>
      <c r="M1603" s="2" t="s">
        <v>509</v>
      </c>
      <c r="N1603" s="2" t="str">
        <f>"12.01.2016"</f>
        <v>12.01.2016</v>
      </c>
      <c r="O1603" s="3" t="str">
        <f>"1.390,00"</f>
        <v>1.390,00</v>
      </c>
      <c r="P1603" s="4"/>
    </row>
    <row r="1604" spans="2:16" ht="63" x14ac:dyDescent="0.25">
      <c r="B1604" s="2">
        <v>1369</v>
      </c>
      <c r="C1604" s="2" t="str">
        <f>"34-15/NOS-89/14"</f>
        <v>34-15/NOS-89/14</v>
      </c>
      <c r="D1604" s="2" t="s">
        <v>28</v>
      </c>
      <c r="E1604" s="2" t="s">
        <v>1250</v>
      </c>
      <c r="F1604" s="2" t="s">
        <v>1277</v>
      </c>
      <c r="G1604" s="2" t="str">
        <f>"34-15/NOS-89/14"</f>
        <v>34-15/NOS-89/14</v>
      </c>
      <c r="H1604" s="2" t="str">
        <f t="shared" si="39"/>
        <v>Ugovor - narudžbenica (periodični predmet)</v>
      </c>
      <c r="I1604" s="2" t="s">
        <v>19</v>
      </c>
      <c r="J1604" s="3" t="str">
        <f>"48.752,32"</f>
        <v>48.752,32</v>
      </c>
      <c r="K1604" s="2" t="s">
        <v>1205</v>
      </c>
      <c r="L1604" s="2" t="s">
        <v>1403</v>
      </c>
      <c r="M1604" s="2" t="s">
        <v>868</v>
      </c>
      <c r="N1604" s="2" t="str">
        <f>"13.01.2016"</f>
        <v>13.01.2016</v>
      </c>
      <c r="O1604" s="3" t="str">
        <f>"47.612,32"</f>
        <v>47.612,32</v>
      </c>
      <c r="P1604" s="4"/>
    </row>
    <row r="1605" spans="2:16" ht="63" x14ac:dyDescent="0.25">
      <c r="B1605" s="2">
        <v>1370</v>
      </c>
      <c r="C1605" s="2" t="str">
        <f>"18-15/NOS-112/14"</f>
        <v>18-15/NOS-112/14</v>
      </c>
      <c r="D1605" s="2" t="s">
        <v>16</v>
      </c>
      <c r="E1605" s="2" t="s">
        <v>1250</v>
      </c>
      <c r="F1605" s="2" t="s">
        <v>77</v>
      </c>
      <c r="G1605" s="2" t="str">
        <f>"18-15/NOS-112/14"</f>
        <v>18-15/NOS-112/14</v>
      </c>
      <c r="H1605" s="2" t="str">
        <f t="shared" si="39"/>
        <v>Ugovor - narudžbenica (periodični predmet)</v>
      </c>
      <c r="I1605" s="2" t="s">
        <v>19</v>
      </c>
      <c r="J1605" s="3" t="str">
        <f>"4.800,00"</f>
        <v>4.800,00</v>
      </c>
      <c r="K1605" s="2" t="s">
        <v>1205</v>
      </c>
      <c r="L1605" s="2" t="s">
        <v>1403</v>
      </c>
      <c r="M1605" s="2" t="s">
        <v>80</v>
      </c>
      <c r="N1605" s="2" t="str">
        <f>"11.01.2016"</f>
        <v>11.01.2016</v>
      </c>
      <c r="O1605" s="3" t="str">
        <f>"4.800,00"</f>
        <v>4.800,00</v>
      </c>
      <c r="P1605" s="4"/>
    </row>
    <row r="1606" spans="2:16" ht="63" x14ac:dyDescent="0.25">
      <c r="B1606" s="2">
        <v>1371</v>
      </c>
      <c r="C1606" s="2" t="str">
        <f>"8-15/NOS-119/15"</f>
        <v>8-15/NOS-119/15</v>
      </c>
      <c r="D1606" s="2" t="s">
        <v>16</v>
      </c>
      <c r="E1606" s="2" t="s">
        <v>1250</v>
      </c>
      <c r="F1606" s="2" t="s">
        <v>455</v>
      </c>
      <c r="G1606" s="2" t="str">
        <f>"8-15/NOS-119/15"</f>
        <v>8-15/NOS-119/15</v>
      </c>
      <c r="H1606" s="2" t="str">
        <f t="shared" si="39"/>
        <v>Ugovor - narudžbenica (periodični predmet)</v>
      </c>
      <c r="I1606" s="2" t="s">
        <v>19</v>
      </c>
      <c r="J1606" s="3" t="str">
        <f>"41.375,07"</f>
        <v>41.375,07</v>
      </c>
      <c r="K1606" s="2" t="s">
        <v>1205</v>
      </c>
      <c r="L1606" s="2" t="s">
        <v>1244</v>
      </c>
      <c r="M1606" s="2" t="s">
        <v>458</v>
      </c>
      <c r="N1606" s="2" t="str">
        <f>"12.01.2016"</f>
        <v>12.01.2016</v>
      </c>
      <c r="O1606" s="3" t="str">
        <f>"241,88"</f>
        <v>241,88</v>
      </c>
      <c r="P1606" s="4"/>
    </row>
    <row r="1607" spans="2:16" ht="63" x14ac:dyDescent="0.25">
      <c r="B1607" s="2">
        <v>1372</v>
      </c>
      <c r="C1607" s="2" t="str">
        <f>"8-15/NOS-93/15"</f>
        <v>8-15/NOS-93/15</v>
      </c>
      <c r="D1607" s="2" t="s">
        <v>28</v>
      </c>
      <c r="E1607" s="2" t="s">
        <v>1250</v>
      </c>
      <c r="F1607" s="2" t="s">
        <v>543</v>
      </c>
      <c r="G1607" s="2" t="str">
        <f>"8-15/NOS-93/15"</f>
        <v>8-15/NOS-93/15</v>
      </c>
      <c r="H1607" s="2" t="str">
        <f t="shared" si="39"/>
        <v>Ugovor - narudžbenica (periodični predmet)</v>
      </c>
      <c r="I1607" s="2" t="s">
        <v>19</v>
      </c>
      <c r="J1607" s="3" t="str">
        <f>"58.033,08"</f>
        <v>58.033,08</v>
      </c>
      <c r="K1607" s="2" t="s">
        <v>1405</v>
      </c>
      <c r="L1607" s="2" t="s">
        <v>1399</v>
      </c>
      <c r="M1607" s="2" t="s">
        <v>44</v>
      </c>
      <c r="N1607" s="2" t="str">
        <f>"12.01.2016"</f>
        <v>12.01.2016</v>
      </c>
      <c r="O1607" s="3" t="str">
        <f>"1.631,74"</f>
        <v>1.631,74</v>
      </c>
      <c r="P1607" s="4"/>
    </row>
    <row r="1608" spans="2:16" ht="63" x14ac:dyDescent="0.25">
      <c r="B1608" s="2">
        <v>1373</v>
      </c>
      <c r="C1608" s="2" t="str">
        <f>"14-15/NOS-183/13"</f>
        <v>14-15/NOS-183/13</v>
      </c>
      <c r="D1608" s="2" t="s">
        <v>85</v>
      </c>
      <c r="E1608" s="2" t="s">
        <v>1250</v>
      </c>
      <c r="F1608" s="2" t="s">
        <v>1292</v>
      </c>
      <c r="G1608" s="2" t="str">
        <f>"14-15/NOS-183/13"</f>
        <v>14-15/NOS-183/13</v>
      </c>
      <c r="H1608" s="2" t="str">
        <f t="shared" si="39"/>
        <v>Ugovor - narudžbenica (periodični predmet)</v>
      </c>
      <c r="I1608" s="2" t="s">
        <v>19</v>
      </c>
      <c r="J1608" s="3" t="str">
        <f>"69.695,45"</f>
        <v>69.695,45</v>
      </c>
      <c r="K1608" s="2" t="s">
        <v>1209</v>
      </c>
      <c r="L1608" s="2" t="s">
        <v>1406</v>
      </c>
      <c r="M1608" s="2" t="s">
        <v>1293</v>
      </c>
      <c r="N1608" s="2" t="str">
        <f>"13.01.2016"</f>
        <v>13.01.2016</v>
      </c>
      <c r="O1608" s="3" t="str">
        <f>"66.343,20"</f>
        <v>66.343,20</v>
      </c>
      <c r="P1608" s="4"/>
    </row>
    <row r="1609" spans="2:16" ht="63" x14ac:dyDescent="0.25">
      <c r="B1609" s="2">
        <v>1374</v>
      </c>
      <c r="C1609" s="2" t="str">
        <f>"61-15/NOS-21/14"</f>
        <v>61-15/NOS-21/14</v>
      </c>
      <c r="D1609" s="2" t="s">
        <v>28</v>
      </c>
      <c r="E1609" s="2" t="s">
        <v>1250</v>
      </c>
      <c r="F1609" s="2" t="s">
        <v>1349</v>
      </c>
      <c r="G1609" s="2" t="str">
        <f>"61-15/NOS-21/14"</f>
        <v>61-15/NOS-21/14</v>
      </c>
      <c r="H1609" s="2" t="str">
        <f t="shared" si="39"/>
        <v>Ugovor - narudžbenica (periodični predmet)</v>
      </c>
      <c r="I1609" s="2" t="s">
        <v>19</v>
      </c>
      <c r="J1609" s="3" t="str">
        <f>"12.797,40"</f>
        <v>12.797,40</v>
      </c>
      <c r="K1609" s="2" t="s">
        <v>1209</v>
      </c>
      <c r="L1609" s="2" t="s">
        <v>1403</v>
      </c>
      <c r="M1609" s="2" t="s">
        <v>944</v>
      </c>
      <c r="N1609" s="2" t="str">
        <f>"28.12.2015"</f>
        <v>28.12.2015</v>
      </c>
      <c r="O1609" s="3" t="str">
        <f>"1.249,40"</f>
        <v>1.249,40</v>
      </c>
      <c r="P1609" s="4"/>
    </row>
    <row r="1610" spans="2:16" ht="63" x14ac:dyDescent="0.25">
      <c r="B1610" s="2">
        <v>1375</v>
      </c>
      <c r="C1610" s="2" t="str">
        <f>"21-15/NOS-24/15"</f>
        <v>21-15/NOS-24/15</v>
      </c>
      <c r="D1610" s="2" t="s">
        <v>188</v>
      </c>
      <c r="E1610" s="2" t="s">
        <v>1250</v>
      </c>
      <c r="F1610" s="2" t="s">
        <v>305</v>
      </c>
      <c r="G1610" s="2" t="str">
        <f>"21-15/NOS-24/15"</f>
        <v>21-15/NOS-24/15</v>
      </c>
      <c r="H1610" s="2" t="str">
        <f t="shared" si="39"/>
        <v>Ugovor - narudžbenica (periodični predmet)</v>
      </c>
      <c r="I1610" s="2" t="s">
        <v>19</v>
      </c>
      <c r="J1610" s="3" t="str">
        <f>"126.139,60"</f>
        <v>126.139,60</v>
      </c>
      <c r="K1610" s="2" t="s">
        <v>1209</v>
      </c>
      <c r="L1610" s="2" t="s">
        <v>1244</v>
      </c>
      <c r="M1610" s="2" t="s">
        <v>218</v>
      </c>
      <c r="N1610" s="2" t="str">
        <f>"12.01.2016"</f>
        <v>12.01.2016</v>
      </c>
      <c r="O1610" s="3" t="str">
        <f>"4.825,00"</f>
        <v>4.825,00</v>
      </c>
      <c r="P1610" s="4"/>
    </row>
    <row r="1611" spans="2:16" ht="63" x14ac:dyDescent="0.25">
      <c r="B1611" s="2">
        <v>1376</v>
      </c>
      <c r="C1611" s="2" t="str">
        <f>"7-15/NOS-71/15"</f>
        <v>7-15/NOS-71/15</v>
      </c>
      <c r="D1611" s="2" t="s">
        <v>16</v>
      </c>
      <c r="E1611" s="2" t="s">
        <v>1250</v>
      </c>
      <c r="F1611" s="2" t="s">
        <v>575</v>
      </c>
      <c r="G1611" s="2" t="str">
        <f>"7-15/NOS-71/15"</f>
        <v>7-15/NOS-71/15</v>
      </c>
      <c r="H1611" s="2" t="str">
        <f t="shared" si="39"/>
        <v>Ugovor - narudžbenica (periodični predmet)</v>
      </c>
      <c r="I1611" s="2" t="s">
        <v>19</v>
      </c>
      <c r="J1611" s="3" t="str">
        <f>"1.478,46"</f>
        <v>1.478,46</v>
      </c>
      <c r="K1611" s="2" t="s">
        <v>1209</v>
      </c>
      <c r="L1611" s="2" t="s">
        <v>1403</v>
      </c>
      <c r="M1611" s="2" t="s">
        <v>576</v>
      </c>
      <c r="N1611" s="2" t="s">
        <v>23</v>
      </c>
      <c r="O1611" s="3" t="str">
        <f>"0,00"</f>
        <v>0,00</v>
      </c>
      <c r="P1611" s="4"/>
    </row>
    <row r="1612" spans="2:16" ht="63" x14ac:dyDescent="0.25">
      <c r="B1612" s="2">
        <v>1377</v>
      </c>
      <c r="C1612" s="2" t="str">
        <f>"27-15/NOS-83/14"</f>
        <v>27-15/NOS-83/14</v>
      </c>
      <c r="D1612" s="2" t="s">
        <v>16</v>
      </c>
      <c r="E1612" s="2" t="s">
        <v>1250</v>
      </c>
      <c r="F1612" s="2" t="s">
        <v>1273</v>
      </c>
      <c r="G1612" s="2" t="str">
        <f>"27-15/NOS-83/14"</f>
        <v>27-15/NOS-83/14</v>
      </c>
      <c r="H1612" s="2" t="str">
        <f t="shared" si="39"/>
        <v>Ugovor - narudžbenica (periodični predmet)</v>
      </c>
      <c r="I1612" s="2" t="s">
        <v>19</v>
      </c>
      <c r="J1612" s="3" t="str">
        <f>"26.490,00"</f>
        <v>26.490,00</v>
      </c>
      <c r="K1612" s="2" t="s">
        <v>1209</v>
      </c>
      <c r="L1612" s="2" t="s">
        <v>1403</v>
      </c>
      <c r="M1612" s="2" t="s">
        <v>941</v>
      </c>
      <c r="N1612" s="2" t="str">
        <f>"13.01.2016"</f>
        <v>13.01.2016</v>
      </c>
      <c r="O1612" s="3" t="str">
        <f>"25.630,00"</f>
        <v>25.630,00</v>
      </c>
      <c r="P1612" s="4"/>
    </row>
    <row r="1613" spans="2:16" ht="63" x14ac:dyDescent="0.25">
      <c r="B1613" s="2">
        <v>1378</v>
      </c>
      <c r="C1613" s="2" t="str">
        <f>"16-15/NOS-203/13"</f>
        <v>16-15/NOS-203/13</v>
      </c>
      <c r="D1613" s="2" t="s">
        <v>16</v>
      </c>
      <c r="E1613" s="2" t="s">
        <v>1250</v>
      </c>
      <c r="F1613" s="2" t="s">
        <v>1303</v>
      </c>
      <c r="G1613" s="2" t="str">
        <f>"16-15/NOS-203/13"</f>
        <v>16-15/NOS-203/13</v>
      </c>
      <c r="H1613" s="2" t="str">
        <f t="shared" si="39"/>
        <v>Ugovor - narudžbenica (periodični predmet)</v>
      </c>
      <c r="I1613" s="2" t="s">
        <v>19</v>
      </c>
      <c r="J1613" s="3" t="str">
        <f>"245.063,12"</f>
        <v>245.063,12</v>
      </c>
      <c r="K1613" s="2" t="s">
        <v>1209</v>
      </c>
      <c r="L1613" s="2" t="s">
        <v>1244</v>
      </c>
      <c r="M1613" s="2" t="s">
        <v>1305</v>
      </c>
      <c r="N1613" s="2" t="str">
        <f>"30.12.2015"</f>
        <v>30.12.2015</v>
      </c>
      <c r="O1613" s="3" t="str">
        <f>"245.063,12"</f>
        <v>245.063,12</v>
      </c>
      <c r="P1613" s="4"/>
    </row>
    <row r="1614" spans="2:16" ht="63" x14ac:dyDescent="0.25">
      <c r="B1614" s="2">
        <v>1379</v>
      </c>
      <c r="C1614" s="2" t="str">
        <f>"16-15/NOS-210-A/13"</f>
        <v>16-15/NOS-210-A/13</v>
      </c>
      <c r="D1614" s="2" t="s">
        <v>85</v>
      </c>
      <c r="E1614" s="2" t="s">
        <v>1250</v>
      </c>
      <c r="F1614" s="2" t="s">
        <v>1294</v>
      </c>
      <c r="G1614" s="2" t="str">
        <f>"16-15/NOS-210-A/13"</f>
        <v>16-15/NOS-210-A/13</v>
      </c>
      <c r="H1614" s="2" t="str">
        <f t="shared" si="39"/>
        <v>Ugovor - narudžbenica (periodični predmet)</v>
      </c>
      <c r="I1614" s="2" t="s">
        <v>19</v>
      </c>
      <c r="J1614" s="3" t="str">
        <f>"365.990,00"</f>
        <v>365.990,00</v>
      </c>
      <c r="K1614" s="2" t="s">
        <v>1209</v>
      </c>
      <c r="L1614" s="2" t="s">
        <v>1244</v>
      </c>
      <c r="M1614" s="2" t="s">
        <v>89</v>
      </c>
      <c r="N1614" s="2" t="s">
        <v>23</v>
      </c>
      <c r="O1614" s="3" t="str">
        <f>"0,00"</f>
        <v>0,00</v>
      </c>
      <c r="P1614" s="4"/>
    </row>
    <row r="1615" spans="2:16" ht="63" x14ac:dyDescent="0.25">
      <c r="B1615" s="2">
        <v>1380</v>
      </c>
      <c r="C1615" s="2" t="str">
        <f>"17-15/NOS-122/14"</f>
        <v>17-15/NOS-122/14</v>
      </c>
      <c r="D1615" s="2" t="s">
        <v>16</v>
      </c>
      <c r="E1615" s="2" t="s">
        <v>1250</v>
      </c>
      <c r="F1615" s="2" t="s">
        <v>58</v>
      </c>
      <c r="G1615" s="2" t="str">
        <f>"17-15/NOS-122/14"</f>
        <v>17-15/NOS-122/14</v>
      </c>
      <c r="H1615" s="2" t="str">
        <f t="shared" si="39"/>
        <v>Ugovor - narudžbenica (periodični predmet)</v>
      </c>
      <c r="I1615" s="2" t="s">
        <v>19</v>
      </c>
      <c r="J1615" s="3" t="str">
        <f>"509,00"</f>
        <v>509,00</v>
      </c>
      <c r="K1615" s="2" t="s">
        <v>1203</v>
      </c>
      <c r="L1615" s="2" t="s">
        <v>1403</v>
      </c>
      <c r="M1615" s="2" t="s">
        <v>63</v>
      </c>
      <c r="N1615" s="2" t="str">
        <f>"30.12.2015"</f>
        <v>30.12.2015</v>
      </c>
      <c r="O1615" s="3" t="str">
        <f>"509,00"</f>
        <v>509,00</v>
      </c>
      <c r="P1615" s="4"/>
    </row>
    <row r="1616" spans="2:16" ht="63" x14ac:dyDescent="0.25">
      <c r="B1616" s="2">
        <v>1381</v>
      </c>
      <c r="C1616" s="2" t="str">
        <f>"13-15/NOS-35/15"</f>
        <v>13-15/NOS-35/15</v>
      </c>
      <c r="D1616" s="2" t="s">
        <v>85</v>
      </c>
      <c r="E1616" s="2" t="s">
        <v>1250</v>
      </c>
      <c r="F1616" s="2" t="s">
        <v>243</v>
      </c>
      <c r="G1616" s="2" t="str">
        <f>"13-15/NOS-35/15"</f>
        <v>13-15/NOS-35/15</v>
      </c>
      <c r="H1616" s="2" t="str">
        <f t="shared" si="39"/>
        <v>Ugovor - narudžbenica (periodični predmet)</v>
      </c>
      <c r="I1616" s="2" t="s">
        <v>19</v>
      </c>
      <c r="J1616" s="3" t="str">
        <f>"6.909,92"</f>
        <v>6.909,92</v>
      </c>
      <c r="K1616" s="2" t="s">
        <v>1213</v>
      </c>
      <c r="L1616" s="2" t="s">
        <v>1403</v>
      </c>
      <c r="M1616" s="2" t="s">
        <v>246</v>
      </c>
      <c r="N1616" s="2" t="str">
        <f>"05.01.2016"</f>
        <v>05.01.2016</v>
      </c>
      <c r="O1616" s="3" t="str">
        <f>"6.909,92"</f>
        <v>6.909,92</v>
      </c>
      <c r="P1616" s="4"/>
    </row>
    <row r="1617" spans="2:16" ht="63" x14ac:dyDescent="0.25">
      <c r="B1617" s="2">
        <v>1382</v>
      </c>
      <c r="C1617" s="2" t="str">
        <f>"29-15/NOS-97/14"</f>
        <v>29-15/NOS-97/14</v>
      </c>
      <c r="D1617" s="2" t="s">
        <v>28</v>
      </c>
      <c r="E1617" s="2" t="s">
        <v>1250</v>
      </c>
      <c r="F1617" s="2" t="s">
        <v>1285</v>
      </c>
      <c r="G1617" s="2" t="str">
        <f>"29-15/NOS-97/14"</f>
        <v>29-15/NOS-97/14</v>
      </c>
      <c r="H1617" s="2" t="str">
        <f t="shared" si="39"/>
        <v>Ugovor - narudžbenica (periodični predmet)</v>
      </c>
      <c r="I1617" s="2" t="s">
        <v>19</v>
      </c>
      <c r="J1617" s="3" t="str">
        <f>"13.766,04"</f>
        <v>13.766,04</v>
      </c>
      <c r="K1617" s="2" t="s">
        <v>1205</v>
      </c>
      <c r="L1617" s="2" t="s">
        <v>1403</v>
      </c>
      <c r="M1617" s="2" t="s">
        <v>44</v>
      </c>
      <c r="N1617" s="2" t="str">
        <f>"13.01.2016"</f>
        <v>13.01.2016</v>
      </c>
      <c r="O1617" s="3" t="str">
        <f>"1.016,40"</f>
        <v>1.016,40</v>
      </c>
      <c r="P1617" s="4"/>
    </row>
    <row r="1618" spans="2:16" ht="63" x14ac:dyDescent="0.25">
      <c r="B1618" s="2">
        <v>1383</v>
      </c>
      <c r="C1618" s="2" t="str">
        <f>"44-15/NOS-29/12"</f>
        <v>44-15/NOS-29/12</v>
      </c>
      <c r="D1618" s="2" t="s">
        <v>85</v>
      </c>
      <c r="E1618" s="2" t="s">
        <v>1250</v>
      </c>
      <c r="F1618" s="2" t="s">
        <v>1269</v>
      </c>
      <c r="G1618" s="2" t="str">
        <f>"44-15/NOS-29/12"</f>
        <v>44-15/NOS-29/12</v>
      </c>
      <c r="H1618" s="2" t="str">
        <f t="shared" si="39"/>
        <v>Ugovor - narudžbenica (periodični predmet)</v>
      </c>
      <c r="I1618" s="2" t="s">
        <v>19</v>
      </c>
      <c r="J1618" s="3" t="str">
        <f>"107.215,13"</f>
        <v>107.215,13</v>
      </c>
      <c r="K1618" s="2" t="s">
        <v>1213</v>
      </c>
      <c r="L1618" s="2" t="s">
        <v>408</v>
      </c>
      <c r="M1618" s="2" t="s">
        <v>572</v>
      </c>
      <c r="N1618" s="2" t="str">
        <f>"29.12.2015"</f>
        <v>29.12.2015</v>
      </c>
      <c r="O1618" s="3" t="str">
        <f>"73.655,35"</f>
        <v>73.655,35</v>
      </c>
      <c r="P1618" s="4"/>
    </row>
    <row r="1619" spans="2:16" ht="63" x14ac:dyDescent="0.25">
      <c r="B1619" s="2">
        <v>1384</v>
      </c>
      <c r="C1619" s="2" t="str">
        <f>"11-15/NOS-39/15"</f>
        <v>11-15/NOS-39/15</v>
      </c>
      <c r="D1619" s="2" t="s">
        <v>16</v>
      </c>
      <c r="E1619" s="2" t="s">
        <v>1250</v>
      </c>
      <c r="F1619" s="2" t="s">
        <v>300</v>
      </c>
      <c r="G1619" s="2" t="str">
        <f>"11-15/NOS-39/15"</f>
        <v>11-15/NOS-39/15</v>
      </c>
      <c r="H1619" s="2" t="str">
        <f t="shared" si="39"/>
        <v>Ugovor - narudžbenica (periodični predmet)</v>
      </c>
      <c r="I1619" s="2" t="s">
        <v>19</v>
      </c>
      <c r="J1619" s="3" t="str">
        <f>"952,00"</f>
        <v>952,00</v>
      </c>
      <c r="K1619" s="2" t="s">
        <v>1213</v>
      </c>
      <c r="L1619" s="2" t="s">
        <v>1403</v>
      </c>
      <c r="M1619" s="2" t="s">
        <v>303</v>
      </c>
      <c r="N1619" s="2" t="str">
        <f>"31.12.2015"</f>
        <v>31.12.2015</v>
      </c>
      <c r="O1619" s="3" t="str">
        <f>"774,00"</f>
        <v>774,00</v>
      </c>
      <c r="P1619" s="4"/>
    </row>
    <row r="1620" spans="2:16" s="19" customFormat="1" ht="63" x14ac:dyDescent="0.25">
      <c r="B1620" s="16">
        <v>1385</v>
      </c>
      <c r="C1620" s="16" t="str">
        <f>"11-15/NOS-54/15"</f>
        <v>11-15/NOS-54/15</v>
      </c>
      <c r="D1620" s="16" t="s">
        <v>28</v>
      </c>
      <c r="E1620" s="16" t="s">
        <v>1250</v>
      </c>
      <c r="F1620" s="16" t="s">
        <v>255</v>
      </c>
      <c r="G1620" s="16" t="str">
        <f>"11-15/NOS-54/15"</f>
        <v>11-15/NOS-54/15</v>
      </c>
      <c r="H1620" s="16" t="str">
        <f t="shared" si="39"/>
        <v>Ugovor - narudžbenica (periodični predmet)</v>
      </c>
      <c r="I1620" s="16" t="s">
        <v>19</v>
      </c>
      <c r="J1620" s="17" t="str">
        <f>"98.312,00"</f>
        <v>98.312,00</v>
      </c>
      <c r="K1620" s="16" t="s">
        <v>1209</v>
      </c>
      <c r="L1620" s="16" t="s">
        <v>1244</v>
      </c>
      <c r="M1620" s="16" t="s">
        <v>84</v>
      </c>
      <c r="N1620" s="16" t="s">
        <v>23</v>
      </c>
      <c r="O1620" s="17" t="str">
        <f>"0,00"</f>
        <v>0,00</v>
      </c>
      <c r="P1620" s="18"/>
    </row>
    <row r="1621" spans="2:16" ht="63" x14ac:dyDescent="0.25">
      <c r="B1621" s="2">
        <v>1386</v>
      </c>
      <c r="C1621" s="2" t="str">
        <f>"22-15/NOS-66/14"</f>
        <v>22-15/NOS-66/14</v>
      </c>
      <c r="D1621" s="2" t="s">
        <v>16</v>
      </c>
      <c r="E1621" s="2" t="s">
        <v>1250</v>
      </c>
      <c r="F1621" s="2" t="s">
        <v>1368</v>
      </c>
      <c r="G1621" s="2" t="str">
        <f>"22-15/NOS-66/14"</f>
        <v>22-15/NOS-66/14</v>
      </c>
      <c r="H1621" s="2" t="str">
        <f t="shared" si="39"/>
        <v>Ugovor - narudžbenica (periodični predmet)</v>
      </c>
      <c r="I1621" s="2" t="s">
        <v>19</v>
      </c>
      <c r="J1621" s="3" t="str">
        <f>"67.500,00"</f>
        <v>67.500,00</v>
      </c>
      <c r="K1621" s="2" t="s">
        <v>401</v>
      </c>
      <c r="L1621" s="2" t="s">
        <v>408</v>
      </c>
      <c r="M1621" s="2" t="s">
        <v>1369</v>
      </c>
      <c r="N1621" s="2" t="str">
        <f>"24.12.2015"</f>
        <v>24.12.2015</v>
      </c>
      <c r="O1621" s="3" t="str">
        <f>"67.500,00"</f>
        <v>67.500,00</v>
      </c>
      <c r="P1621" s="4"/>
    </row>
    <row r="1622" spans="2:16" ht="63" x14ac:dyDescent="0.25">
      <c r="B1622" s="2">
        <v>1387</v>
      </c>
      <c r="C1622" s="2" t="str">
        <f>"15-15/NOS-121-C/14"</f>
        <v>15-15/NOS-121-C/14</v>
      </c>
      <c r="D1622" s="2" t="s">
        <v>28</v>
      </c>
      <c r="E1622" s="2" t="s">
        <v>1250</v>
      </c>
      <c r="F1622" s="2" t="s">
        <v>1316</v>
      </c>
      <c r="G1622" s="2" t="str">
        <f>"15-15/NOS-121-C/14"</f>
        <v>15-15/NOS-121-C/14</v>
      </c>
      <c r="H1622" s="2" t="str">
        <f t="shared" si="39"/>
        <v>Ugovor - narudžbenica (periodični predmet)</v>
      </c>
      <c r="I1622" s="2" t="s">
        <v>19</v>
      </c>
      <c r="J1622" s="3" t="str">
        <f>"183.924,00"</f>
        <v>183.924,00</v>
      </c>
      <c r="K1622" s="2" t="s">
        <v>1209</v>
      </c>
      <c r="L1622" s="2" t="s">
        <v>1244</v>
      </c>
      <c r="M1622" s="2" t="s">
        <v>599</v>
      </c>
      <c r="N1622" s="2" t="str">
        <f>"13.01.2016"</f>
        <v>13.01.2016</v>
      </c>
      <c r="O1622" s="3" t="str">
        <f>"140.006,88"</f>
        <v>140.006,88</v>
      </c>
      <c r="P1622" s="4"/>
    </row>
    <row r="1623" spans="2:16" s="19" customFormat="1" ht="63" x14ac:dyDescent="0.25">
      <c r="B1623" s="16">
        <v>1388</v>
      </c>
      <c r="C1623" s="16" t="str">
        <f>"9-15/NOS-67/15"</f>
        <v>9-15/NOS-67/15</v>
      </c>
      <c r="D1623" s="16" t="s">
        <v>16</v>
      </c>
      <c r="E1623" s="16" t="s">
        <v>1250</v>
      </c>
      <c r="F1623" s="16" t="s">
        <v>511</v>
      </c>
      <c r="G1623" s="16" t="str">
        <f>"9-15/NOS-67/15"</f>
        <v>9-15/NOS-67/15</v>
      </c>
      <c r="H1623" s="16" t="str">
        <f t="shared" si="39"/>
        <v>Ugovor - narudžbenica (periodični predmet)</v>
      </c>
      <c r="I1623" s="16" t="s">
        <v>19</v>
      </c>
      <c r="J1623" s="17" t="str">
        <f>"17.330,30"</f>
        <v>17.330,30</v>
      </c>
      <c r="K1623" s="16" t="s">
        <v>401</v>
      </c>
      <c r="L1623" s="16" t="s">
        <v>1244</v>
      </c>
      <c r="M1623" s="16" t="s">
        <v>512</v>
      </c>
      <c r="N1623" s="16" t="s">
        <v>23</v>
      </c>
      <c r="O1623" s="17" t="str">
        <f>"0,00"</f>
        <v>0,00</v>
      </c>
      <c r="P1623" s="18"/>
    </row>
    <row r="1624" spans="2:16" ht="63" x14ac:dyDescent="0.25">
      <c r="B1624" s="2">
        <v>1389</v>
      </c>
      <c r="C1624" s="2" t="str">
        <f>"19-15/NOS-112/14"</f>
        <v>19-15/NOS-112/14</v>
      </c>
      <c r="D1624" s="2" t="s">
        <v>16</v>
      </c>
      <c r="E1624" s="2" t="s">
        <v>1250</v>
      </c>
      <c r="F1624" s="2" t="s">
        <v>77</v>
      </c>
      <c r="G1624" s="2" t="str">
        <f>"19-15/NOS-112/14"</f>
        <v>19-15/NOS-112/14</v>
      </c>
      <c r="H1624" s="2" t="str">
        <f t="shared" si="39"/>
        <v>Ugovor - narudžbenica (periodični predmet)</v>
      </c>
      <c r="I1624" s="2" t="s">
        <v>19</v>
      </c>
      <c r="J1624" s="3" t="str">
        <f>"4.550,00"</f>
        <v>4.550,00</v>
      </c>
      <c r="K1624" s="2" t="s">
        <v>401</v>
      </c>
      <c r="L1624" s="2" t="s">
        <v>1244</v>
      </c>
      <c r="M1624" s="2" t="s">
        <v>80</v>
      </c>
      <c r="N1624" s="2" t="str">
        <f>"23.12.2015"</f>
        <v>23.12.2015</v>
      </c>
      <c r="O1624" s="3" t="str">
        <f>"4.550,00"</f>
        <v>4.550,00</v>
      </c>
      <c r="P1624" s="4"/>
    </row>
    <row r="1625" spans="2:16" ht="63" x14ac:dyDescent="0.25">
      <c r="B1625" s="2">
        <v>1390</v>
      </c>
      <c r="C1625" s="2" t="str">
        <f>"17-15/NOS-210-A/13"</f>
        <v>17-15/NOS-210-A/13</v>
      </c>
      <c r="D1625" s="2" t="s">
        <v>85</v>
      </c>
      <c r="E1625" s="2" t="s">
        <v>1250</v>
      </c>
      <c r="F1625" s="2" t="s">
        <v>1294</v>
      </c>
      <c r="G1625" s="2" t="str">
        <f>"17-15/NOS-210-A/13"</f>
        <v>17-15/NOS-210-A/13</v>
      </c>
      <c r="H1625" s="2" t="str">
        <f t="shared" si="39"/>
        <v>Ugovor - narudžbenica (periodični predmet)</v>
      </c>
      <c r="I1625" s="2" t="s">
        <v>19</v>
      </c>
      <c r="J1625" s="3" t="str">
        <f>"12.920,00"</f>
        <v>12.920,00</v>
      </c>
      <c r="K1625" s="2" t="s">
        <v>401</v>
      </c>
      <c r="L1625" s="2" t="s">
        <v>1407</v>
      </c>
      <c r="M1625" s="2" t="s">
        <v>89</v>
      </c>
      <c r="N1625" s="2" t="s">
        <v>23</v>
      </c>
      <c r="O1625" s="3" t="str">
        <f>"0,00"</f>
        <v>0,00</v>
      </c>
      <c r="P1625" s="4"/>
    </row>
    <row r="1626" spans="2:16" ht="63" x14ac:dyDescent="0.25">
      <c r="B1626" s="2">
        <v>1391</v>
      </c>
      <c r="C1626" s="2" t="str">
        <f>"22-15/NOS-205/13"</f>
        <v>22-15/NOS-205/13</v>
      </c>
      <c r="D1626" s="2" t="s">
        <v>16</v>
      </c>
      <c r="E1626" s="2" t="s">
        <v>1250</v>
      </c>
      <c r="F1626" s="2" t="s">
        <v>1290</v>
      </c>
      <c r="G1626" s="2" t="str">
        <f>"22-15/NOS-205/13"</f>
        <v>22-15/NOS-205/13</v>
      </c>
      <c r="H1626" s="2" t="str">
        <f t="shared" si="39"/>
        <v>Ugovor - narudžbenica (periodični predmet)</v>
      </c>
      <c r="I1626" s="2" t="s">
        <v>19</v>
      </c>
      <c r="J1626" s="3" t="str">
        <f>"496,20"</f>
        <v>496,20</v>
      </c>
      <c r="K1626" s="2" t="s">
        <v>401</v>
      </c>
      <c r="L1626" s="2" t="s">
        <v>1244</v>
      </c>
      <c r="M1626" s="2" t="s">
        <v>1291</v>
      </c>
      <c r="N1626" s="2" t="str">
        <f>"28.12.2015"</f>
        <v>28.12.2015</v>
      </c>
      <c r="O1626" s="3" t="str">
        <f>"426,30"</f>
        <v>426,30</v>
      </c>
      <c r="P1626" s="4"/>
    </row>
    <row r="1627" spans="2:16" s="19" customFormat="1" ht="63" x14ac:dyDescent="0.25">
      <c r="B1627" s="16">
        <v>1392</v>
      </c>
      <c r="C1627" s="16" t="str">
        <f>"9-15/NOS-93/15"</f>
        <v>9-15/NOS-93/15</v>
      </c>
      <c r="D1627" s="16" t="s">
        <v>28</v>
      </c>
      <c r="E1627" s="16" t="s">
        <v>1250</v>
      </c>
      <c r="F1627" s="16" t="s">
        <v>543</v>
      </c>
      <c r="G1627" s="16" t="str">
        <f>"9-15/NOS-93/15"</f>
        <v>9-15/NOS-93/15</v>
      </c>
      <c r="H1627" s="16" t="str">
        <f t="shared" si="39"/>
        <v>Ugovor - narudžbenica (periodični predmet)</v>
      </c>
      <c r="I1627" s="16" t="s">
        <v>19</v>
      </c>
      <c r="J1627" s="17" t="str">
        <f>"12.085,00"</f>
        <v>12.085,00</v>
      </c>
      <c r="K1627" s="16" t="s">
        <v>401</v>
      </c>
      <c r="L1627" s="16" t="s">
        <v>1403</v>
      </c>
      <c r="M1627" s="16" t="s">
        <v>544</v>
      </c>
      <c r="N1627" s="16" t="s">
        <v>23</v>
      </c>
      <c r="O1627" s="17" t="str">
        <f>"0,00"</f>
        <v>0,00</v>
      </c>
      <c r="P1627" s="18"/>
    </row>
    <row r="1628" spans="2:16" s="19" customFormat="1" ht="63" x14ac:dyDescent="0.25">
      <c r="B1628" s="16">
        <v>1393</v>
      </c>
      <c r="C1628" s="16" t="str">
        <f>"8-15/NOS-50/12"</f>
        <v>8-15/NOS-50/12</v>
      </c>
      <c r="D1628" s="16" t="s">
        <v>85</v>
      </c>
      <c r="E1628" s="16" t="s">
        <v>1250</v>
      </c>
      <c r="F1628" s="16" t="s">
        <v>1284</v>
      </c>
      <c r="G1628" s="16" t="str">
        <f>"8-15/NOS-50/12"</f>
        <v>8-15/NOS-50/12</v>
      </c>
      <c r="H1628" s="16" t="str">
        <f t="shared" si="39"/>
        <v>Ugovor - narudžbenica (periodični predmet)</v>
      </c>
      <c r="I1628" s="16" t="s">
        <v>19</v>
      </c>
      <c r="J1628" s="17" t="str">
        <f>"8.379,81"</f>
        <v>8.379,81</v>
      </c>
      <c r="K1628" s="16" t="s">
        <v>401</v>
      </c>
      <c r="L1628" s="16" t="s">
        <v>1244</v>
      </c>
      <c r="M1628" s="16" t="s">
        <v>346</v>
      </c>
      <c r="N1628" s="16" t="s">
        <v>23</v>
      </c>
      <c r="O1628" s="17" t="str">
        <f>"0,00"</f>
        <v>0,00</v>
      </c>
      <c r="P1628" s="18"/>
    </row>
    <row r="1629" spans="2:16" s="15" customFormat="1" ht="63" x14ac:dyDescent="0.25">
      <c r="B1629" s="12">
        <v>1394</v>
      </c>
      <c r="C1629" s="12" t="str">
        <f>"45-15/NOS-216-A/13"</f>
        <v>45-15/NOS-216-A/13</v>
      </c>
      <c r="D1629" s="12" t="s">
        <v>903</v>
      </c>
      <c r="E1629" s="12" t="s">
        <v>1250</v>
      </c>
      <c r="F1629" s="12" t="s">
        <v>1355</v>
      </c>
      <c r="G1629" s="12" t="str">
        <f>"45-15/NOS-216-A/13"</f>
        <v>45-15/NOS-216-A/13</v>
      </c>
      <c r="H1629" s="12" t="str">
        <f t="shared" si="39"/>
        <v>Ugovor - narudžbenica (periodični predmet)</v>
      </c>
      <c r="I1629" s="12" t="s">
        <v>19</v>
      </c>
      <c r="J1629" s="13" t="str">
        <f>"326.396,19"</f>
        <v>326.396,19</v>
      </c>
      <c r="K1629" s="12" t="s">
        <v>401</v>
      </c>
      <c r="L1629" s="12" t="s">
        <v>1244</v>
      </c>
      <c r="M1629" s="12" t="s">
        <v>358</v>
      </c>
      <c r="N1629" s="12" t="str">
        <f>"14.12.2015"</f>
        <v>14.12.2015</v>
      </c>
      <c r="O1629" s="13" t="str">
        <f>"326.396,19"</f>
        <v>326.396,19</v>
      </c>
      <c r="P1629" s="14"/>
    </row>
    <row r="1630" spans="2:16" ht="63" x14ac:dyDescent="0.25">
      <c r="B1630" s="2">
        <v>1396</v>
      </c>
      <c r="C1630" s="2" t="str">
        <f>"8-15/NOS-110/15"</f>
        <v>8-15/NOS-110/15</v>
      </c>
      <c r="D1630" s="2" t="s">
        <v>28</v>
      </c>
      <c r="E1630" s="2" t="s">
        <v>1250</v>
      </c>
      <c r="F1630" s="2" t="s">
        <v>463</v>
      </c>
      <c r="G1630" s="2" t="str">
        <f>"8-15/NOS-110/15"</f>
        <v>8-15/NOS-110/15</v>
      </c>
      <c r="H1630" s="2" t="str">
        <f t="shared" si="39"/>
        <v>Ugovor - narudžbenica (periodični predmet)</v>
      </c>
      <c r="I1630" s="2" t="s">
        <v>19</v>
      </c>
      <c r="J1630" s="3" t="str">
        <f>"21.713,30"</f>
        <v>21.713,30</v>
      </c>
      <c r="K1630" s="2" t="s">
        <v>1205</v>
      </c>
      <c r="L1630" s="2" t="s">
        <v>1403</v>
      </c>
      <c r="M1630" s="2" t="s">
        <v>466</v>
      </c>
      <c r="N1630" s="2" t="str">
        <f>"31.12.2015"</f>
        <v>31.12.2015</v>
      </c>
      <c r="O1630" s="3" t="str">
        <f>"2.922,10"</f>
        <v>2.922,10</v>
      </c>
      <c r="P1630" s="4"/>
    </row>
    <row r="1631" spans="2:16" ht="63" x14ac:dyDescent="0.25">
      <c r="B1631" s="2">
        <v>1397</v>
      </c>
      <c r="C1631" s="2" t="str">
        <f>"9-15/NOS-35/14"</f>
        <v>9-15/NOS-35/14</v>
      </c>
      <c r="D1631" s="2" t="s">
        <v>16</v>
      </c>
      <c r="E1631" s="2" t="s">
        <v>1250</v>
      </c>
      <c r="F1631" s="2" t="s">
        <v>1281</v>
      </c>
      <c r="G1631" s="2" t="str">
        <f>"9-15/NOS-35/14"</f>
        <v>9-15/NOS-35/14</v>
      </c>
      <c r="H1631" s="2" t="str">
        <f t="shared" si="39"/>
        <v>Ugovor - narudžbenica (periodični predmet)</v>
      </c>
      <c r="I1631" s="2" t="s">
        <v>19</v>
      </c>
      <c r="J1631" s="3" t="str">
        <f>"9.350,00"</f>
        <v>9.350,00</v>
      </c>
      <c r="K1631" s="2" t="s">
        <v>1217</v>
      </c>
      <c r="L1631" s="2" t="s">
        <v>1244</v>
      </c>
      <c r="M1631" s="2" t="s">
        <v>1282</v>
      </c>
      <c r="N1631" s="2" t="str">
        <f>"14.01.2016"</f>
        <v>14.01.2016</v>
      </c>
      <c r="O1631" s="3" t="str">
        <f>"8.800,00"</f>
        <v>8.800,00</v>
      </c>
      <c r="P1631" s="4"/>
    </row>
    <row r="1632" spans="2:16" s="19" customFormat="1" ht="63" x14ac:dyDescent="0.25">
      <c r="B1632" s="16">
        <v>1398</v>
      </c>
      <c r="C1632" s="16" t="str">
        <f>"18-15/NOS-32/14"</f>
        <v>18-15/NOS-32/14</v>
      </c>
      <c r="D1632" s="16" t="s">
        <v>16</v>
      </c>
      <c r="E1632" s="16" t="s">
        <v>1250</v>
      </c>
      <c r="F1632" s="16" t="s">
        <v>1365</v>
      </c>
      <c r="G1632" s="16" t="str">
        <f>"18-15/NOS-32/14"</f>
        <v>18-15/NOS-32/14</v>
      </c>
      <c r="H1632" s="16" t="str">
        <f t="shared" si="39"/>
        <v>Ugovor - narudžbenica (periodični predmet)</v>
      </c>
      <c r="I1632" s="16" t="s">
        <v>19</v>
      </c>
      <c r="J1632" s="17" t="str">
        <f>"3.000,00"</f>
        <v>3.000,00</v>
      </c>
      <c r="K1632" s="16" t="s">
        <v>1217</v>
      </c>
      <c r="L1632" s="16" t="s">
        <v>1244</v>
      </c>
      <c r="M1632" s="16" t="s">
        <v>1366</v>
      </c>
      <c r="N1632" s="16" t="s">
        <v>23</v>
      </c>
      <c r="O1632" s="17" t="str">
        <f>"0,00"</f>
        <v>0,00</v>
      </c>
      <c r="P1632" s="18"/>
    </row>
    <row r="1633" spans="2:16" ht="63" x14ac:dyDescent="0.25">
      <c r="B1633" s="2">
        <v>1399</v>
      </c>
      <c r="C1633" s="2" t="str">
        <f>"47-15/NOS-216-A/13"</f>
        <v>47-15/NOS-216-A/13</v>
      </c>
      <c r="D1633" s="2" t="s">
        <v>16</v>
      </c>
      <c r="E1633" s="2" t="s">
        <v>1250</v>
      </c>
      <c r="F1633" s="2" t="s">
        <v>1355</v>
      </c>
      <c r="G1633" s="2" t="str">
        <f>"47-15/NOS-216-A/13"</f>
        <v>47-15/NOS-216-A/13</v>
      </c>
      <c r="H1633" s="2" t="str">
        <f t="shared" si="39"/>
        <v>Ugovor - narudžbenica (periodični predmet)</v>
      </c>
      <c r="I1633" s="2" t="s">
        <v>19</v>
      </c>
      <c r="J1633" s="3" t="str">
        <f>"5.819,22"</f>
        <v>5.819,22</v>
      </c>
      <c r="K1633" s="2" t="s">
        <v>1217</v>
      </c>
      <c r="L1633" s="2" t="s">
        <v>1184</v>
      </c>
      <c r="M1633" s="2" t="s">
        <v>358</v>
      </c>
      <c r="N1633" s="2" t="str">
        <f>"16.12.2015"</f>
        <v>16.12.2015</v>
      </c>
      <c r="O1633" s="3" t="str">
        <f>"1.537,51"</f>
        <v>1.537,51</v>
      </c>
      <c r="P1633" s="4"/>
    </row>
    <row r="1634" spans="2:16" s="19" customFormat="1" ht="63" x14ac:dyDescent="0.25">
      <c r="B1634" s="16">
        <v>1401</v>
      </c>
      <c r="C1634" s="16" t="str">
        <f>"10-15/NOS-62/15"</f>
        <v>10-15/NOS-62/15</v>
      </c>
      <c r="D1634" s="16" t="s">
        <v>16</v>
      </c>
      <c r="E1634" s="16" t="s">
        <v>1250</v>
      </c>
      <c r="F1634" s="16" t="s">
        <v>211</v>
      </c>
      <c r="G1634" s="16" t="str">
        <f>"10-15/NOS-62/15"</f>
        <v>10-15/NOS-62/15</v>
      </c>
      <c r="H1634" s="16" t="str">
        <f t="shared" ref="H1634:H1664" si="40">"Ugovor - narudžbenica (periodični predmet)"</f>
        <v>Ugovor - narudžbenica (periodični predmet)</v>
      </c>
      <c r="I1634" s="16" t="s">
        <v>19</v>
      </c>
      <c r="J1634" s="17" t="str">
        <f>"2.990,00"</f>
        <v>2.990,00</v>
      </c>
      <c r="K1634" s="16" t="s">
        <v>1217</v>
      </c>
      <c r="L1634" s="16" t="s">
        <v>1244</v>
      </c>
      <c r="M1634" s="16" t="s">
        <v>213</v>
      </c>
      <c r="N1634" s="16" t="s">
        <v>23</v>
      </c>
      <c r="O1634" s="17" t="str">
        <f>"0,00"</f>
        <v>0,00</v>
      </c>
      <c r="P1634" s="18"/>
    </row>
    <row r="1635" spans="2:16" ht="63" x14ac:dyDescent="0.25">
      <c r="B1635" s="2">
        <v>1402</v>
      </c>
      <c r="C1635" s="2" t="str">
        <f>"8-15/NOS-95/15"</f>
        <v>8-15/NOS-95/15</v>
      </c>
      <c r="D1635" s="2" t="s">
        <v>16</v>
      </c>
      <c r="E1635" s="2" t="s">
        <v>1250</v>
      </c>
      <c r="F1635" s="2" t="s">
        <v>510</v>
      </c>
      <c r="G1635" s="2" t="str">
        <f>"8-15/NOS-95/15"</f>
        <v>8-15/NOS-95/15</v>
      </c>
      <c r="H1635" s="2" t="str">
        <f t="shared" si="40"/>
        <v>Ugovor - narudžbenica (periodični predmet)</v>
      </c>
      <c r="I1635" s="2" t="s">
        <v>19</v>
      </c>
      <c r="J1635" s="3" t="str">
        <f>"1.943,50"</f>
        <v>1.943,50</v>
      </c>
      <c r="K1635" s="2" t="s">
        <v>1217</v>
      </c>
      <c r="L1635" s="2" t="s">
        <v>1244</v>
      </c>
      <c r="M1635" s="2" t="s">
        <v>73</v>
      </c>
      <c r="N1635" s="2" t="str">
        <f>"30.12.2015"</f>
        <v>30.12.2015</v>
      </c>
      <c r="O1635" s="3" t="str">
        <f>"1.943,50"</f>
        <v>1.943,50</v>
      </c>
      <c r="P1635" s="4"/>
    </row>
    <row r="1636" spans="2:16" ht="63" x14ac:dyDescent="0.25">
      <c r="B1636" s="2">
        <v>1403</v>
      </c>
      <c r="C1636" s="2" t="str">
        <f>"7-15/NOS-97-B/15"</f>
        <v>7-15/NOS-97-B/15</v>
      </c>
      <c r="D1636" s="2" t="s">
        <v>28</v>
      </c>
      <c r="E1636" s="2" t="s">
        <v>1250</v>
      </c>
      <c r="F1636" s="2" t="s">
        <v>1271</v>
      </c>
      <c r="G1636" s="2" t="str">
        <f>"7-15/NOS-97-B/15"</f>
        <v>7-15/NOS-97-B/15</v>
      </c>
      <c r="H1636" s="2" t="str">
        <f t="shared" si="40"/>
        <v>Ugovor - narudžbenica (periodični predmet)</v>
      </c>
      <c r="I1636" s="2" t="s">
        <v>19</v>
      </c>
      <c r="J1636" s="3" t="str">
        <f>"7.724,10"</f>
        <v>7.724,10</v>
      </c>
      <c r="K1636" s="2" t="s">
        <v>1217</v>
      </c>
      <c r="L1636" s="2" t="s">
        <v>1244</v>
      </c>
      <c r="M1636" s="2" t="s">
        <v>44</v>
      </c>
      <c r="N1636" s="2" t="str">
        <f>"13.01.2016"</f>
        <v>13.01.2016</v>
      </c>
      <c r="O1636" s="3" t="str">
        <f>"682,81"</f>
        <v>682,81</v>
      </c>
      <c r="P1636" s="4"/>
    </row>
    <row r="1637" spans="2:16" s="19" customFormat="1" ht="63" x14ac:dyDescent="0.25">
      <c r="B1637" s="16">
        <v>1404</v>
      </c>
      <c r="C1637" s="16" t="str">
        <f>"8-15/NOS-97-A/15"</f>
        <v>8-15/NOS-97-A/15</v>
      </c>
      <c r="D1637" s="16" t="s">
        <v>85</v>
      </c>
      <c r="E1637" s="16" t="s">
        <v>1250</v>
      </c>
      <c r="F1637" s="16" t="s">
        <v>1271</v>
      </c>
      <c r="G1637" s="16" t="str">
        <f>"8-15/NOS-97-A/15"</f>
        <v>8-15/NOS-97-A/15</v>
      </c>
      <c r="H1637" s="16" t="str">
        <f t="shared" si="40"/>
        <v>Ugovor - narudžbenica (periodični predmet)</v>
      </c>
      <c r="I1637" s="16" t="s">
        <v>19</v>
      </c>
      <c r="J1637" s="17" t="str">
        <f>"350,00"</f>
        <v>350,00</v>
      </c>
      <c r="K1637" s="16" t="s">
        <v>1217</v>
      </c>
      <c r="L1637" s="16" t="s">
        <v>408</v>
      </c>
      <c r="M1637" s="16" t="s">
        <v>44</v>
      </c>
      <c r="N1637" s="16" t="s">
        <v>23</v>
      </c>
      <c r="O1637" s="17" t="str">
        <f>"0,00"</f>
        <v>0,00</v>
      </c>
      <c r="P1637" s="18"/>
    </row>
    <row r="1638" spans="2:16" s="19" customFormat="1" ht="63" x14ac:dyDescent="0.25">
      <c r="B1638" s="16">
        <v>1405</v>
      </c>
      <c r="C1638" s="16" t="str">
        <f>"9-15/NOS-119/15"</f>
        <v>9-15/NOS-119/15</v>
      </c>
      <c r="D1638" s="16" t="s">
        <v>188</v>
      </c>
      <c r="E1638" s="16" t="s">
        <v>1250</v>
      </c>
      <c r="F1638" s="16" t="s">
        <v>455</v>
      </c>
      <c r="G1638" s="16" t="str">
        <f>"9-15/NOS-119/15"</f>
        <v>9-15/NOS-119/15</v>
      </c>
      <c r="H1638" s="16" t="str">
        <f t="shared" si="40"/>
        <v>Ugovor - narudžbenica (periodični predmet)</v>
      </c>
      <c r="I1638" s="16" t="s">
        <v>19</v>
      </c>
      <c r="J1638" s="17" t="str">
        <f>"122.431,78"</f>
        <v>122.431,78</v>
      </c>
      <c r="K1638" s="16" t="s">
        <v>1217</v>
      </c>
      <c r="L1638" s="16" t="s">
        <v>1408</v>
      </c>
      <c r="M1638" s="16" t="s">
        <v>458</v>
      </c>
      <c r="N1638" s="16" t="str">
        <f>"11.01.2016"</f>
        <v>11.01.2016</v>
      </c>
      <c r="O1638" s="17" t="str">
        <f>"4.286,52"</f>
        <v>4.286,52</v>
      </c>
      <c r="P1638" s="18"/>
    </row>
    <row r="1639" spans="2:16" s="19" customFormat="1" ht="63" x14ac:dyDescent="0.25">
      <c r="B1639" s="16">
        <v>1406</v>
      </c>
      <c r="C1639" s="16" t="str">
        <f>"12-15/NOS-209/13"</f>
        <v>12-15/NOS-209/13</v>
      </c>
      <c r="D1639" s="16" t="s">
        <v>85</v>
      </c>
      <c r="E1639" s="16" t="s">
        <v>1250</v>
      </c>
      <c r="F1639" s="16" t="s">
        <v>1296</v>
      </c>
      <c r="G1639" s="16" t="str">
        <f>"12-15/NOS-209/13"</f>
        <v>12-15/NOS-209/13</v>
      </c>
      <c r="H1639" s="16" t="str">
        <f t="shared" si="40"/>
        <v>Ugovor - narudžbenica (periodični predmet)</v>
      </c>
      <c r="I1639" s="16" t="s">
        <v>19</v>
      </c>
      <c r="J1639" s="17" t="str">
        <f>"38.912,00"</f>
        <v>38.912,00</v>
      </c>
      <c r="K1639" s="16" t="s">
        <v>1217</v>
      </c>
      <c r="L1639" s="16" t="s">
        <v>1244</v>
      </c>
      <c r="M1639" s="16" t="s">
        <v>111</v>
      </c>
      <c r="N1639" s="16" t="s">
        <v>23</v>
      </c>
      <c r="O1639" s="17" t="str">
        <f>"0,00"</f>
        <v>0,00</v>
      </c>
      <c r="P1639" s="18"/>
    </row>
    <row r="1640" spans="2:16" s="19" customFormat="1" ht="63" x14ac:dyDescent="0.25">
      <c r="B1640" s="16">
        <v>1407</v>
      </c>
      <c r="C1640" s="16" t="str">
        <f>"6-15/NOS-210-C/13"</f>
        <v>6-15/NOS-210-C/13</v>
      </c>
      <c r="D1640" s="16" t="s">
        <v>85</v>
      </c>
      <c r="E1640" s="16" t="s">
        <v>1250</v>
      </c>
      <c r="F1640" s="16" t="s">
        <v>1294</v>
      </c>
      <c r="G1640" s="16" t="str">
        <f>"6-15/NOS-210-C/13"</f>
        <v>6-15/NOS-210-C/13</v>
      </c>
      <c r="H1640" s="16" t="str">
        <f t="shared" si="40"/>
        <v>Ugovor - narudžbenica (periodični predmet)</v>
      </c>
      <c r="I1640" s="16" t="s">
        <v>19</v>
      </c>
      <c r="J1640" s="17" t="str">
        <f>"8.316,00"</f>
        <v>8.316,00</v>
      </c>
      <c r="K1640" s="16" t="s">
        <v>1217</v>
      </c>
      <c r="L1640" s="16" t="s">
        <v>1244</v>
      </c>
      <c r="M1640" s="16" t="s">
        <v>1335</v>
      </c>
      <c r="N1640" s="16" t="s">
        <v>23</v>
      </c>
      <c r="O1640" s="17" t="str">
        <f>"0,00"</f>
        <v>0,00</v>
      </c>
      <c r="P1640" s="18"/>
    </row>
    <row r="1641" spans="2:16" s="19" customFormat="1" ht="63" x14ac:dyDescent="0.25">
      <c r="B1641" s="16">
        <v>1408</v>
      </c>
      <c r="C1641" s="16" t="str">
        <f>"11-15/NOS-69/15"</f>
        <v>11-15/NOS-69/15</v>
      </c>
      <c r="D1641" s="16" t="s">
        <v>16</v>
      </c>
      <c r="E1641" s="16" t="s">
        <v>1250</v>
      </c>
      <c r="F1641" s="16" t="s">
        <v>268</v>
      </c>
      <c r="G1641" s="16" t="str">
        <f>"11-15/NOS-69/15"</f>
        <v>11-15/NOS-69/15</v>
      </c>
      <c r="H1641" s="16" t="str">
        <f t="shared" si="40"/>
        <v>Ugovor - narudžbenica (periodični predmet)</v>
      </c>
      <c r="I1641" s="16" t="s">
        <v>19</v>
      </c>
      <c r="J1641" s="17" t="str">
        <f>"570,00"</f>
        <v>570,00</v>
      </c>
      <c r="K1641" s="16" t="s">
        <v>1184</v>
      </c>
      <c r="L1641" s="16" t="s">
        <v>1244</v>
      </c>
      <c r="M1641" s="16" t="s">
        <v>269</v>
      </c>
      <c r="N1641" s="16" t="str">
        <f>"05.01.2016"</f>
        <v>05.01.2016</v>
      </c>
      <c r="O1641" s="17" t="str">
        <f>"570,00"</f>
        <v>570,00</v>
      </c>
      <c r="P1641" s="18"/>
    </row>
    <row r="1642" spans="2:16" s="19" customFormat="1" ht="63" x14ac:dyDescent="0.25">
      <c r="B1642" s="16">
        <v>1409</v>
      </c>
      <c r="C1642" s="16" t="str">
        <f>"6-15/NOS-70-B/15"</f>
        <v>6-15/NOS-70-B/15</v>
      </c>
      <c r="D1642" s="16" t="s">
        <v>16</v>
      </c>
      <c r="E1642" s="16" t="s">
        <v>1250</v>
      </c>
      <c r="F1642" s="16" t="s">
        <v>1342</v>
      </c>
      <c r="G1642" s="16" t="str">
        <f>"6-15/NOS-70-B/15"</f>
        <v>6-15/NOS-70-B/15</v>
      </c>
      <c r="H1642" s="16" t="str">
        <f t="shared" si="40"/>
        <v>Ugovor - narudžbenica (periodični predmet)</v>
      </c>
      <c r="I1642" s="16" t="s">
        <v>19</v>
      </c>
      <c r="J1642" s="17" t="str">
        <f>"5.828,40"</f>
        <v>5.828,40</v>
      </c>
      <c r="K1642" s="16" t="s">
        <v>1184</v>
      </c>
      <c r="L1642" s="16" t="s">
        <v>1244</v>
      </c>
      <c r="M1642" s="16" t="s">
        <v>508</v>
      </c>
      <c r="N1642" s="16" t="s">
        <v>23</v>
      </c>
      <c r="O1642" s="17" t="str">
        <f>"0,00"</f>
        <v>0,00</v>
      </c>
      <c r="P1642" s="18"/>
    </row>
    <row r="1643" spans="2:16" s="19" customFormat="1" ht="63" x14ac:dyDescent="0.25">
      <c r="B1643" s="16">
        <v>1410</v>
      </c>
      <c r="C1643" s="16" t="str">
        <f>"13-15/NOS-70-A/15"</f>
        <v>13-15/NOS-70-A/15</v>
      </c>
      <c r="D1643" s="16" t="s">
        <v>16</v>
      </c>
      <c r="E1643" s="16" t="s">
        <v>1250</v>
      </c>
      <c r="F1643" s="16" t="s">
        <v>1342</v>
      </c>
      <c r="G1643" s="16" t="str">
        <f>"13-15/NOS-70-A/15"</f>
        <v>13-15/NOS-70-A/15</v>
      </c>
      <c r="H1643" s="16" t="str">
        <f t="shared" si="40"/>
        <v>Ugovor - narudžbenica (periodični predmet)</v>
      </c>
      <c r="I1643" s="16" t="s">
        <v>19</v>
      </c>
      <c r="J1643" s="17" t="str">
        <f>"3.208,00"</f>
        <v>3.208,00</v>
      </c>
      <c r="K1643" s="16" t="s">
        <v>1184</v>
      </c>
      <c r="L1643" s="16" t="s">
        <v>1244</v>
      </c>
      <c r="M1643" s="16" t="s">
        <v>44</v>
      </c>
      <c r="N1643" s="16" t="s">
        <v>23</v>
      </c>
      <c r="O1643" s="17" t="str">
        <f>"0,00"</f>
        <v>0,00</v>
      </c>
      <c r="P1643" s="18"/>
    </row>
    <row r="1644" spans="2:16" s="19" customFormat="1" ht="63" x14ac:dyDescent="0.25">
      <c r="B1644" s="16">
        <v>1411</v>
      </c>
      <c r="C1644" s="16" t="str">
        <f>"27-15/NOS-102/11"</f>
        <v>27-15/NOS-102/11</v>
      </c>
      <c r="D1644" s="16" t="s">
        <v>16</v>
      </c>
      <c r="E1644" s="16" t="s">
        <v>1250</v>
      </c>
      <c r="F1644" s="16" t="s">
        <v>1357</v>
      </c>
      <c r="G1644" s="16" t="str">
        <f>"27-15/NOS-102/11"</f>
        <v>27-15/NOS-102/11</v>
      </c>
      <c r="H1644" s="16" t="str">
        <f t="shared" si="40"/>
        <v>Ugovor - narudžbenica (periodični predmet)</v>
      </c>
      <c r="I1644" s="16" t="s">
        <v>19</v>
      </c>
      <c r="J1644" s="17" t="str">
        <f>"6.695,91"</f>
        <v>6.695,91</v>
      </c>
      <c r="K1644" s="16" t="s">
        <v>1184</v>
      </c>
      <c r="L1644" s="16" t="s">
        <v>1244</v>
      </c>
      <c r="M1644" s="16" t="s">
        <v>454</v>
      </c>
      <c r="N1644" s="16" t="s">
        <v>23</v>
      </c>
      <c r="O1644" s="17" t="str">
        <f>"0,00"</f>
        <v>0,00</v>
      </c>
      <c r="P1644" s="18"/>
    </row>
    <row r="1645" spans="2:16" ht="63" x14ac:dyDescent="0.25">
      <c r="B1645" s="2">
        <v>1412</v>
      </c>
      <c r="C1645" s="2" t="str">
        <f>"3-15/NOS-121-A/14"</f>
        <v>3-15/NOS-121-A/14</v>
      </c>
      <c r="D1645" s="2" t="s">
        <v>85</v>
      </c>
      <c r="E1645" s="2" t="s">
        <v>1250</v>
      </c>
      <c r="F1645" s="2" t="s">
        <v>1316</v>
      </c>
      <c r="G1645" s="2" t="str">
        <f>"3-15/NOS-121-A/14"</f>
        <v>3-15/NOS-121-A/14</v>
      </c>
      <c r="H1645" s="2" t="str">
        <f t="shared" si="40"/>
        <v>Ugovor - narudžbenica (periodični predmet)</v>
      </c>
      <c r="I1645" s="2" t="s">
        <v>19</v>
      </c>
      <c r="J1645" s="3" t="str">
        <f>"32.772,53"</f>
        <v>32.772,53</v>
      </c>
      <c r="K1645" s="2" t="s">
        <v>1184</v>
      </c>
      <c r="L1645" s="2" t="s">
        <v>1399</v>
      </c>
      <c r="M1645" s="2" t="s">
        <v>599</v>
      </c>
      <c r="N1645" s="2" t="str">
        <f>"13.01.2016"</f>
        <v>13.01.2016</v>
      </c>
      <c r="O1645" s="3" t="str">
        <f>"32.772,53"</f>
        <v>32.772,53</v>
      </c>
      <c r="P1645" s="4"/>
    </row>
    <row r="1646" spans="2:16" ht="63" x14ac:dyDescent="0.25">
      <c r="B1646" s="2">
        <v>1413</v>
      </c>
      <c r="C1646" s="2" t="str">
        <f>"14-15/NOS-70/14"</f>
        <v>14-15/NOS-70/14</v>
      </c>
      <c r="D1646" s="2" t="s">
        <v>16</v>
      </c>
      <c r="E1646" s="2" t="s">
        <v>1250</v>
      </c>
      <c r="F1646" s="2" t="s">
        <v>1287</v>
      </c>
      <c r="G1646" s="2" t="str">
        <f>"14-15/NOS-70/14"</f>
        <v>14-15/NOS-70/14</v>
      </c>
      <c r="H1646" s="2" t="str">
        <f t="shared" si="40"/>
        <v>Ugovor - narudžbenica (periodični predmet)</v>
      </c>
      <c r="I1646" s="2" t="s">
        <v>19</v>
      </c>
      <c r="J1646" s="3" t="str">
        <f>"72.822,00"</f>
        <v>72.822,00</v>
      </c>
      <c r="K1646" s="2" t="s">
        <v>1409</v>
      </c>
      <c r="L1646" s="2" t="s">
        <v>1244</v>
      </c>
      <c r="M1646" s="2" t="s">
        <v>1288</v>
      </c>
      <c r="N1646" s="2" t="str">
        <f>"07.01.2016"</f>
        <v>07.01.2016</v>
      </c>
      <c r="O1646" s="3" t="str">
        <f>"7.736,00"</f>
        <v>7.736,00</v>
      </c>
      <c r="P1646" s="4"/>
    </row>
    <row r="1647" spans="2:16" s="19" customFormat="1" ht="63" x14ac:dyDescent="0.25">
      <c r="B1647" s="16">
        <v>1414</v>
      </c>
      <c r="C1647" s="16" t="str">
        <f>"4-15/NOS-75-D/15"</f>
        <v>4-15/NOS-75-D/15</v>
      </c>
      <c r="D1647" s="16" t="s">
        <v>16</v>
      </c>
      <c r="E1647" s="16" t="s">
        <v>1250</v>
      </c>
      <c r="F1647" s="16" t="s">
        <v>1337</v>
      </c>
      <c r="G1647" s="16" t="str">
        <f>"4-15/NOS-75-D/15"</f>
        <v>4-15/NOS-75-D/15</v>
      </c>
      <c r="H1647" s="16" t="str">
        <f t="shared" si="40"/>
        <v>Ugovor - narudžbenica (periodični predmet)</v>
      </c>
      <c r="I1647" s="16" t="s">
        <v>19</v>
      </c>
      <c r="J1647" s="17" t="str">
        <f>"4.380,00"</f>
        <v>4.380,00</v>
      </c>
      <c r="K1647" s="16" t="s">
        <v>1409</v>
      </c>
      <c r="L1647" s="16" t="s">
        <v>1244</v>
      </c>
      <c r="M1647" s="16" t="s">
        <v>612</v>
      </c>
      <c r="N1647" s="16" t="s">
        <v>23</v>
      </c>
      <c r="O1647" s="17" t="str">
        <f>"0,00"</f>
        <v>0,00</v>
      </c>
      <c r="P1647" s="18"/>
    </row>
    <row r="1648" spans="2:16" s="19" customFormat="1" ht="63" x14ac:dyDescent="0.25">
      <c r="B1648" s="16">
        <v>1415</v>
      </c>
      <c r="C1648" s="16" t="str">
        <f>"9-15/NOS-75-I/15"</f>
        <v>9-15/NOS-75-I/15</v>
      </c>
      <c r="D1648" s="16" t="s">
        <v>16</v>
      </c>
      <c r="E1648" s="16" t="s">
        <v>1250</v>
      </c>
      <c r="F1648" s="16" t="s">
        <v>1337</v>
      </c>
      <c r="G1648" s="16" t="str">
        <f>"9-15/NOS-75-I/15"</f>
        <v>9-15/NOS-75-I/15</v>
      </c>
      <c r="H1648" s="16" t="str">
        <f t="shared" si="40"/>
        <v>Ugovor - narudžbenica (periodični predmet)</v>
      </c>
      <c r="I1648" s="16" t="s">
        <v>19</v>
      </c>
      <c r="J1648" s="17" t="str">
        <f>"130.748,00"</f>
        <v>130.748,00</v>
      </c>
      <c r="K1648" s="16" t="s">
        <v>1409</v>
      </c>
      <c r="L1648" s="16" t="s">
        <v>1244</v>
      </c>
      <c r="M1648" s="16" t="s">
        <v>612</v>
      </c>
      <c r="N1648" s="16" t="s">
        <v>23</v>
      </c>
      <c r="O1648" s="17" t="str">
        <f>"0,00"</f>
        <v>0,00</v>
      </c>
      <c r="P1648" s="18"/>
    </row>
    <row r="1649" spans="2:16" s="19" customFormat="1" ht="63" x14ac:dyDescent="0.25">
      <c r="B1649" s="16">
        <v>1416</v>
      </c>
      <c r="C1649" s="16" t="str">
        <f>"9-15/NOS-75-B/15"</f>
        <v>9-15/NOS-75-B/15</v>
      </c>
      <c r="D1649" s="16" t="s">
        <v>16</v>
      </c>
      <c r="E1649" s="16" t="s">
        <v>1250</v>
      </c>
      <c r="F1649" s="16" t="s">
        <v>1337</v>
      </c>
      <c r="G1649" s="16" t="str">
        <f>"9-15/NOS-75-B/15"</f>
        <v>9-15/NOS-75-B/15</v>
      </c>
      <c r="H1649" s="16" t="str">
        <f t="shared" si="40"/>
        <v>Ugovor - narudžbenica (periodični predmet)</v>
      </c>
      <c r="I1649" s="16" t="s">
        <v>19</v>
      </c>
      <c r="J1649" s="17" t="str">
        <f>"6.420,00"</f>
        <v>6.420,00</v>
      </c>
      <c r="K1649" s="16" t="s">
        <v>1409</v>
      </c>
      <c r="L1649" s="16" t="s">
        <v>1244</v>
      </c>
      <c r="M1649" s="16" t="s">
        <v>612</v>
      </c>
      <c r="N1649" s="16" t="s">
        <v>23</v>
      </c>
      <c r="O1649" s="17" t="str">
        <f>"0,00"</f>
        <v>0,00</v>
      </c>
      <c r="P1649" s="18"/>
    </row>
    <row r="1650" spans="2:16" ht="63" x14ac:dyDescent="0.25">
      <c r="B1650" s="2">
        <v>1417</v>
      </c>
      <c r="C1650" s="2" t="str">
        <f>"13-15/NOS-75-A/15"</f>
        <v>13-15/NOS-75-A/15</v>
      </c>
      <c r="D1650" s="2" t="s">
        <v>16</v>
      </c>
      <c r="E1650" s="2" t="s">
        <v>1250</v>
      </c>
      <c r="F1650" s="2" t="s">
        <v>1337</v>
      </c>
      <c r="G1650" s="2" t="str">
        <f>"13-15/NOS-75-A/15"</f>
        <v>13-15/NOS-75-A/15</v>
      </c>
      <c r="H1650" s="2" t="str">
        <f t="shared" si="40"/>
        <v>Ugovor - narudžbenica (periodični predmet)</v>
      </c>
      <c r="I1650" s="2" t="s">
        <v>19</v>
      </c>
      <c r="J1650" s="3" t="str">
        <f>"68.150,00"</f>
        <v>68.150,00</v>
      </c>
      <c r="K1650" s="2" t="s">
        <v>1409</v>
      </c>
      <c r="L1650" s="2" t="s">
        <v>1244</v>
      </c>
      <c r="M1650" s="2" t="s">
        <v>218</v>
      </c>
      <c r="N1650" s="2" t="str">
        <f>"08.01.2016"</f>
        <v>08.01.2016</v>
      </c>
      <c r="O1650" s="3" t="str">
        <f>"10.100,00"</f>
        <v>10.100,00</v>
      </c>
      <c r="P1650" s="4"/>
    </row>
    <row r="1651" spans="2:16" s="19" customFormat="1" ht="63" x14ac:dyDescent="0.25">
      <c r="B1651" s="16">
        <v>1418</v>
      </c>
      <c r="C1651" s="16" t="str">
        <f>"35-15/NOS-89/14"</f>
        <v>35-15/NOS-89/14</v>
      </c>
      <c r="D1651" s="16" t="s">
        <v>16</v>
      </c>
      <c r="E1651" s="16" t="s">
        <v>1250</v>
      </c>
      <c r="F1651" s="16" t="s">
        <v>1277</v>
      </c>
      <c r="G1651" s="16" t="str">
        <f>"35-15/NOS-89/14"</f>
        <v>35-15/NOS-89/14</v>
      </c>
      <c r="H1651" s="16" t="str">
        <f t="shared" si="40"/>
        <v>Ugovor - narudžbenica (periodični predmet)</v>
      </c>
      <c r="I1651" s="16" t="s">
        <v>19</v>
      </c>
      <c r="J1651" s="17" t="str">
        <f>"5.818,94"</f>
        <v>5.818,94</v>
      </c>
      <c r="K1651" s="16" t="s">
        <v>1409</v>
      </c>
      <c r="L1651" s="16" t="s">
        <v>1244</v>
      </c>
      <c r="M1651" s="16" t="s">
        <v>868</v>
      </c>
      <c r="N1651" s="16" t="str">
        <f>"30.12.2015"</f>
        <v>30.12.2015</v>
      </c>
      <c r="O1651" s="17" t="str">
        <f>"5.398,74"</f>
        <v>5.398,74</v>
      </c>
      <c r="P1651" s="18"/>
    </row>
    <row r="1652" spans="2:16" s="19" customFormat="1" ht="63" x14ac:dyDescent="0.25">
      <c r="B1652" s="16">
        <v>1419</v>
      </c>
      <c r="C1652" s="16" t="str">
        <f>"17-15/NOS-108/14"</f>
        <v>17-15/NOS-108/14</v>
      </c>
      <c r="D1652" s="16" t="s">
        <v>16</v>
      </c>
      <c r="E1652" s="16" t="s">
        <v>1250</v>
      </c>
      <c r="F1652" s="16" t="s">
        <v>41</v>
      </c>
      <c r="G1652" s="16" t="str">
        <f>"17-15/NOS-108/14"</f>
        <v>17-15/NOS-108/14</v>
      </c>
      <c r="H1652" s="16" t="str">
        <f t="shared" si="40"/>
        <v>Ugovor - narudžbenica (periodični predmet)</v>
      </c>
      <c r="I1652" s="16" t="s">
        <v>19</v>
      </c>
      <c r="J1652" s="17" t="str">
        <f>"1.892,10"</f>
        <v>1.892,10</v>
      </c>
      <c r="K1652" s="16" t="s">
        <v>1409</v>
      </c>
      <c r="L1652" s="16" t="s">
        <v>1244</v>
      </c>
      <c r="M1652" s="16" t="s">
        <v>45</v>
      </c>
      <c r="N1652" s="16" t="str">
        <f>"05.01.2016"</f>
        <v>05.01.2016</v>
      </c>
      <c r="O1652" s="17" t="str">
        <f>"1.892,10"</f>
        <v>1.892,10</v>
      </c>
      <c r="P1652" s="18"/>
    </row>
    <row r="1653" spans="2:16" s="19" customFormat="1" ht="63" x14ac:dyDescent="0.25">
      <c r="B1653" s="16">
        <v>1420</v>
      </c>
      <c r="C1653" s="16" t="str">
        <f>"18-15/NOS-56/14"</f>
        <v>18-15/NOS-56/14</v>
      </c>
      <c r="D1653" s="16" t="s">
        <v>16</v>
      </c>
      <c r="E1653" s="16" t="s">
        <v>1250</v>
      </c>
      <c r="F1653" s="16" t="s">
        <v>1286</v>
      </c>
      <c r="G1653" s="16" t="str">
        <f>"18-15/NOS-56/14"</f>
        <v>18-15/NOS-56/14</v>
      </c>
      <c r="H1653" s="16" t="str">
        <f t="shared" si="40"/>
        <v>Ugovor - narudžbenica (periodični predmet)</v>
      </c>
      <c r="I1653" s="16" t="s">
        <v>19</v>
      </c>
      <c r="J1653" s="17" t="str">
        <f>"1.784,50"</f>
        <v>1.784,50</v>
      </c>
      <c r="K1653" s="16" t="s">
        <v>1409</v>
      </c>
      <c r="L1653" s="16" t="s">
        <v>1244</v>
      </c>
      <c r="M1653" s="16" t="s">
        <v>715</v>
      </c>
      <c r="N1653" s="16" t="str">
        <f>"07.01.2016"</f>
        <v>07.01.2016</v>
      </c>
      <c r="O1653" s="17" t="str">
        <f>"1.784,50"</f>
        <v>1.784,50</v>
      </c>
      <c r="P1653" s="18"/>
    </row>
    <row r="1654" spans="2:16" s="19" customFormat="1" ht="63" x14ac:dyDescent="0.25">
      <c r="B1654" s="16">
        <v>1421</v>
      </c>
      <c r="C1654" s="16" t="str">
        <f>"10-15/NOS-93/15"</f>
        <v>10-15/NOS-93/15</v>
      </c>
      <c r="D1654" s="16" t="s">
        <v>16</v>
      </c>
      <c r="E1654" s="16" t="s">
        <v>1250</v>
      </c>
      <c r="F1654" s="16" t="s">
        <v>543</v>
      </c>
      <c r="G1654" s="16" t="str">
        <f>"10-15/NOS-93/15"</f>
        <v>10-15/NOS-93/15</v>
      </c>
      <c r="H1654" s="16" t="str">
        <f t="shared" si="40"/>
        <v>Ugovor - narudžbenica (periodični predmet)</v>
      </c>
      <c r="I1654" s="16" t="s">
        <v>19</v>
      </c>
      <c r="J1654" s="17" t="str">
        <f>"43.876,69"</f>
        <v>43.876,69</v>
      </c>
      <c r="K1654" s="16" t="s">
        <v>1409</v>
      </c>
      <c r="L1654" s="16" t="s">
        <v>1244</v>
      </c>
      <c r="M1654" s="16" t="s">
        <v>75</v>
      </c>
      <c r="N1654" s="16" t="s">
        <v>23</v>
      </c>
      <c r="O1654" s="17" t="str">
        <f>"0,00"</f>
        <v>0,00</v>
      </c>
      <c r="P1654" s="18"/>
    </row>
    <row r="1655" spans="2:16" s="19" customFormat="1" ht="63" x14ac:dyDescent="0.25">
      <c r="B1655" s="16">
        <v>1422</v>
      </c>
      <c r="C1655" s="16" t="str">
        <f>"9-15/NOS-95/15"</f>
        <v>9-15/NOS-95/15</v>
      </c>
      <c r="D1655" s="16" t="s">
        <v>16</v>
      </c>
      <c r="E1655" s="16" t="s">
        <v>1250</v>
      </c>
      <c r="F1655" s="16" t="s">
        <v>510</v>
      </c>
      <c r="G1655" s="16" t="str">
        <f>"9-15/NOS-95/15"</f>
        <v>9-15/NOS-95/15</v>
      </c>
      <c r="H1655" s="16" t="str">
        <f t="shared" si="40"/>
        <v>Ugovor - narudžbenica (periodični predmet)</v>
      </c>
      <c r="I1655" s="16" t="s">
        <v>19</v>
      </c>
      <c r="J1655" s="17" t="str">
        <f>"23.235,00"</f>
        <v>23.235,00</v>
      </c>
      <c r="K1655" s="16" t="s">
        <v>1409</v>
      </c>
      <c r="L1655" s="16" t="s">
        <v>1410</v>
      </c>
      <c r="M1655" s="16" t="s">
        <v>73</v>
      </c>
      <c r="N1655" s="16" t="str">
        <f>"12.01.2016"</f>
        <v>12.01.2016</v>
      </c>
      <c r="O1655" s="17" t="str">
        <f>"9.000,00"</f>
        <v>9.000,00</v>
      </c>
      <c r="P1655" s="18"/>
    </row>
    <row r="1656" spans="2:16" s="19" customFormat="1" ht="63" x14ac:dyDescent="0.25">
      <c r="B1656" s="16">
        <v>1423</v>
      </c>
      <c r="C1656" s="16" t="str">
        <f>"6-15/NOS-101-A/15"</f>
        <v>6-15/NOS-101-A/15</v>
      </c>
      <c r="D1656" s="16" t="s">
        <v>16</v>
      </c>
      <c r="E1656" s="16" t="s">
        <v>1250</v>
      </c>
      <c r="F1656" s="16" t="s">
        <v>1352</v>
      </c>
      <c r="G1656" s="16" t="str">
        <f>"6-15/NOS-101-A/15"</f>
        <v>6-15/NOS-101-A/15</v>
      </c>
      <c r="H1656" s="16" t="str">
        <f t="shared" si="40"/>
        <v>Ugovor - narudžbenica (periodični predmet)</v>
      </c>
      <c r="I1656" s="16" t="s">
        <v>19</v>
      </c>
      <c r="J1656" s="17" t="str">
        <f>"13.720,00"</f>
        <v>13.720,00</v>
      </c>
      <c r="K1656" s="16" t="s">
        <v>1409</v>
      </c>
      <c r="L1656" s="16" t="s">
        <v>1244</v>
      </c>
      <c r="M1656" s="16" t="s">
        <v>419</v>
      </c>
      <c r="N1656" s="16" t="str">
        <f>"31.12.2015"</f>
        <v>31.12.2015</v>
      </c>
      <c r="O1656" s="17" t="str">
        <f>"13.720,00"</f>
        <v>13.720,00</v>
      </c>
      <c r="P1656" s="18"/>
    </row>
    <row r="1657" spans="2:16" s="19" customFormat="1" ht="63" x14ac:dyDescent="0.25">
      <c r="B1657" s="16">
        <v>1424</v>
      </c>
      <c r="C1657" s="16" t="str">
        <f>"30-15/NOS-97/14"</f>
        <v>30-15/NOS-97/14</v>
      </c>
      <c r="D1657" s="16" t="s">
        <v>16</v>
      </c>
      <c r="E1657" s="16" t="s">
        <v>1250</v>
      </c>
      <c r="F1657" s="16" t="s">
        <v>1285</v>
      </c>
      <c r="G1657" s="16" t="str">
        <f>"30-15/NOS-97/14"</f>
        <v>30-15/NOS-97/14</v>
      </c>
      <c r="H1657" s="16" t="str">
        <f t="shared" si="40"/>
        <v>Ugovor - narudžbenica (periodični predmet)</v>
      </c>
      <c r="I1657" s="16" t="s">
        <v>19</v>
      </c>
      <c r="J1657" s="17" t="str">
        <f>"19.646,42"</f>
        <v>19.646,42</v>
      </c>
      <c r="K1657" s="16" t="s">
        <v>1409</v>
      </c>
      <c r="L1657" s="16" t="s">
        <v>1244</v>
      </c>
      <c r="M1657" s="16" t="s">
        <v>44</v>
      </c>
      <c r="N1657" s="16" t="s">
        <v>23</v>
      </c>
      <c r="O1657" s="17" t="str">
        <f>"0,00"</f>
        <v>0,00</v>
      </c>
      <c r="P1657" s="18"/>
    </row>
    <row r="1658" spans="2:16" ht="63" x14ac:dyDescent="0.25">
      <c r="B1658" s="2">
        <v>1425</v>
      </c>
      <c r="C1658" s="2" t="str">
        <f>"23-15/NOS-66/14"</f>
        <v>23-15/NOS-66/14</v>
      </c>
      <c r="D1658" s="2" t="s">
        <v>16</v>
      </c>
      <c r="E1658" s="2" t="s">
        <v>1250</v>
      </c>
      <c r="F1658" s="2" t="s">
        <v>1368</v>
      </c>
      <c r="G1658" s="2" t="str">
        <f>"23-15/NOS-66/14"</f>
        <v>23-15/NOS-66/14</v>
      </c>
      <c r="H1658" s="2" t="str">
        <f t="shared" si="40"/>
        <v>Ugovor - narudžbenica (periodični predmet)</v>
      </c>
      <c r="I1658" s="2" t="s">
        <v>19</v>
      </c>
      <c r="J1658" s="3" t="str">
        <f>"13.950,00"</f>
        <v>13.950,00</v>
      </c>
      <c r="K1658" s="2" t="s">
        <v>1409</v>
      </c>
      <c r="L1658" s="2" t="s">
        <v>1410</v>
      </c>
      <c r="M1658" s="2" t="s">
        <v>1369</v>
      </c>
      <c r="N1658" s="2" t="str">
        <f>"24.12.2015"</f>
        <v>24.12.2015</v>
      </c>
      <c r="O1658" s="3" t="str">
        <f>"13.950,00"</f>
        <v>13.950,00</v>
      </c>
      <c r="P1658" s="4"/>
    </row>
    <row r="1659" spans="2:16" ht="63" x14ac:dyDescent="0.25">
      <c r="B1659" s="2">
        <v>1426</v>
      </c>
      <c r="C1659" s="2" t="str">
        <f>"62-15/NOS-21/14"</f>
        <v>62-15/NOS-21/14</v>
      </c>
      <c r="D1659" s="2" t="s">
        <v>28</v>
      </c>
      <c r="E1659" s="2" t="s">
        <v>1250</v>
      </c>
      <c r="F1659" s="2" t="s">
        <v>1349</v>
      </c>
      <c r="G1659" s="2" t="str">
        <f>"62-15/NOS-21/14"</f>
        <v>62-15/NOS-21/14</v>
      </c>
      <c r="H1659" s="2" t="str">
        <f t="shared" si="40"/>
        <v>Ugovor - narudžbenica (periodični predmet)</v>
      </c>
      <c r="I1659" s="2" t="s">
        <v>19</v>
      </c>
      <c r="J1659" s="3" t="str">
        <f>"2.732,40"</f>
        <v>2.732,40</v>
      </c>
      <c r="K1659" s="2" t="s">
        <v>394</v>
      </c>
      <c r="L1659" s="2" t="s">
        <v>1244</v>
      </c>
      <c r="M1659" s="2" t="s">
        <v>944</v>
      </c>
      <c r="N1659" s="2" t="str">
        <f>"12.01.2016"</f>
        <v>12.01.2016</v>
      </c>
      <c r="O1659" s="3" t="str">
        <f>"231,84"</f>
        <v>231,84</v>
      </c>
      <c r="P1659" s="4"/>
    </row>
    <row r="1660" spans="2:16" ht="63" x14ac:dyDescent="0.25">
      <c r="B1660" s="2">
        <v>1427</v>
      </c>
      <c r="C1660" s="2" t="str">
        <f>"22-15/NOS-24/15"</f>
        <v>22-15/NOS-24/15</v>
      </c>
      <c r="D1660" s="2" t="s">
        <v>16</v>
      </c>
      <c r="E1660" s="2" t="s">
        <v>1250</v>
      </c>
      <c r="F1660" s="2" t="s">
        <v>305</v>
      </c>
      <c r="G1660" s="2" t="str">
        <f>"22-15/NOS-24/15"</f>
        <v>22-15/NOS-24/15</v>
      </c>
      <c r="H1660" s="2" t="str">
        <f t="shared" si="40"/>
        <v>Ugovor - narudžbenica (periodični predmet)</v>
      </c>
      <c r="I1660" s="2" t="s">
        <v>19</v>
      </c>
      <c r="J1660" s="3" t="str">
        <f>"22.198,00"</f>
        <v>22.198,00</v>
      </c>
      <c r="K1660" s="2" t="s">
        <v>394</v>
      </c>
      <c r="L1660" s="2" t="s">
        <v>1408</v>
      </c>
      <c r="M1660" s="2" t="s">
        <v>218</v>
      </c>
      <c r="N1660" s="2" t="s">
        <v>23</v>
      </c>
      <c r="O1660" s="3" t="str">
        <f>"0,00"</f>
        <v>0,00</v>
      </c>
      <c r="P1660" s="4"/>
    </row>
    <row r="1661" spans="2:16" ht="63" x14ac:dyDescent="0.25">
      <c r="B1661" s="2">
        <v>1428</v>
      </c>
      <c r="C1661" s="2" t="str">
        <f>"2-15/NOS-130/15"</f>
        <v>2-15/NOS-130/15</v>
      </c>
      <c r="D1661" s="2" t="s">
        <v>28</v>
      </c>
      <c r="E1661" s="2" t="s">
        <v>1250</v>
      </c>
      <c r="F1661" s="2" t="s">
        <v>536</v>
      </c>
      <c r="G1661" s="2" t="str">
        <f>"2-15/NOS-130/15"</f>
        <v>2-15/NOS-130/15</v>
      </c>
      <c r="H1661" s="2" t="str">
        <f t="shared" si="40"/>
        <v>Ugovor - narudžbenica (periodični predmet)</v>
      </c>
      <c r="I1661" s="2" t="s">
        <v>19</v>
      </c>
      <c r="J1661" s="3" t="str">
        <f>"19.915,78"</f>
        <v>19.915,78</v>
      </c>
      <c r="K1661" s="2" t="s">
        <v>394</v>
      </c>
      <c r="L1661" s="2" t="s">
        <v>1244</v>
      </c>
      <c r="M1661" s="2" t="s">
        <v>84</v>
      </c>
      <c r="N1661" s="2" t="str">
        <f>"13.01.2016"</f>
        <v>13.01.2016</v>
      </c>
      <c r="O1661" s="3" t="str">
        <f>"2.933,02"</f>
        <v>2.933,02</v>
      </c>
      <c r="P1661" s="4"/>
    </row>
    <row r="1662" spans="2:16" ht="63" x14ac:dyDescent="0.25">
      <c r="B1662" s="2">
        <v>1429</v>
      </c>
      <c r="C1662" s="2" t="str">
        <f>"14-15/NOS-118/14"</f>
        <v>14-15/NOS-118/14</v>
      </c>
      <c r="D1662" s="2" t="s">
        <v>85</v>
      </c>
      <c r="E1662" s="2" t="s">
        <v>1250</v>
      </c>
      <c r="F1662" s="2" t="s">
        <v>86</v>
      </c>
      <c r="G1662" s="2" t="str">
        <f>"14-15/NOS-118/14"</f>
        <v>14-15/NOS-118/14</v>
      </c>
      <c r="H1662" s="2" t="str">
        <f t="shared" si="40"/>
        <v>Ugovor - narudžbenica (periodični predmet)</v>
      </c>
      <c r="I1662" s="2" t="s">
        <v>19</v>
      </c>
      <c r="J1662" s="3" t="str">
        <f>"124.152,00"</f>
        <v>124.152,00</v>
      </c>
      <c r="K1662" s="2" t="s">
        <v>394</v>
      </c>
      <c r="L1662" s="2" t="s">
        <v>1244</v>
      </c>
      <c r="M1662" s="2" t="s">
        <v>84</v>
      </c>
      <c r="N1662" s="2" t="s">
        <v>23</v>
      </c>
      <c r="O1662" s="3" t="str">
        <f>"0,00"</f>
        <v>0,00</v>
      </c>
      <c r="P1662" s="4"/>
    </row>
    <row r="1663" spans="2:16" ht="63" x14ac:dyDescent="0.25">
      <c r="B1663" s="2">
        <v>1430</v>
      </c>
      <c r="C1663" s="2" t="str">
        <f>"19-15/NOS-32/14"</f>
        <v>19-15/NOS-32/14</v>
      </c>
      <c r="D1663" s="2" t="s">
        <v>16</v>
      </c>
      <c r="E1663" s="2" t="s">
        <v>1250</v>
      </c>
      <c r="F1663" s="2" t="s">
        <v>1365</v>
      </c>
      <c r="G1663" s="2" t="str">
        <f>"19-15/NOS-32/14"</f>
        <v>19-15/NOS-32/14</v>
      </c>
      <c r="H1663" s="2" t="str">
        <f t="shared" si="40"/>
        <v>Ugovor - narudžbenica (periodični predmet)</v>
      </c>
      <c r="I1663" s="2" t="s">
        <v>19</v>
      </c>
      <c r="J1663" s="3" t="str">
        <f>"26.482,10"</f>
        <v>26.482,10</v>
      </c>
      <c r="K1663" s="2" t="s">
        <v>394</v>
      </c>
      <c r="L1663" s="2" t="s">
        <v>1408</v>
      </c>
      <c r="M1663" s="2" t="s">
        <v>1366</v>
      </c>
      <c r="N1663" s="2" t="s">
        <v>23</v>
      </c>
      <c r="O1663" s="3" t="str">
        <f>"0,00"</f>
        <v>0,00</v>
      </c>
      <c r="P1663" s="4"/>
    </row>
    <row r="1664" spans="2:16" ht="63" x14ac:dyDescent="0.25">
      <c r="B1664" s="2">
        <v>1431</v>
      </c>
      <c r="C1664" s="2" t="str">
        <f>"14-15/NOS-35/15"</f>
        <v>14-15/NOS-35/15</v>
      </c>
      <c r="D1664" s="2" t="s">
        <v>16</v>
      </c>
      <c r="E1664" s="2" t="s">
        <v>1250</v>
      </c>
      <c r="F1664" s="2" t="s">
        <v>243</v>
      </c>
      <c r="G1664" s="2" t="str">
        <f>"14-15/NOS-35/15"</f>
        <v>14-15/NOS-35/15</v>
      </c>
      <c r="H1664" s="2" t="str">
        <f t="shared" si="40"/>
        <v>Ugovor - narudžbenica (periodični predmet)</v>
      </c>
      <c r="I1664" s="2" t="s">
        <v>19</v>
      </c>
      <c r="J1664" s="3" t="str">
        <f>"2.931,00"</f>
        <v>2.931,00</v>
      </c>
      <c r="K1664" s="2" t="s">
        <v>394</v>
      </c>
      <c r="L1664" s="2" t="s">
        <v>1244</v>
      </c>
      <c r="M1664" s="2" t="s">
        <v>246</v>
      </c>
      <c r="N1664" s="2" t="s">
        <v>23</v>
      </c>
      <c r="O1664" s="3" t="str">
        <f>"0,00"</f>
        <v>0,00</v>
      </c>
      <c r="P1664" s="4"/>
    </row>
    <row r="1665" spans="2:16" ht="63" x14ac:dyDescent="0.25">
      <c r="B1665" s="2">
        <v>1432</v>
      </c>
      <c r="C1665" s="2" t="str">
        <f>"12-15/NOS-39/15"</f>
        <v>12-15/NOS-39/15</v>
      </c>
      <c r="D1665" s="2" t="s">
        <v>16</v>
      </c>
      <c r="E1665" s="2" t="s">
        <v>1250</v>
      </c>
      <c r="F1665" s="2" t="s">
        <v>300</v>
      </c>
      <c r="G1665" s="2" t="str">
        <f>"12-15/NOS-39/15"</f>
        <v>12-15/NOS-39/15</v>
      </c>
      <c r="H1665" s="2" t="str">
        <f t="shared" ref="H1665:H1696" si="41">"Ugovor - narudžbenica (periodični predmet)"</f>
        <v>Ugovor - narudžbenica (periodični predmet)</v>
      </c>
      <c r="I1665" s="2" t="s">
        <v>19</v>
      </c>
      <c r="J1665" s="3" t="str">
        <f>"2.324,70"</f>
        <v>2.324,70</v>
      </c>
      <c r="K1665" s="2" t="s">
        <v>394</v>
      </c>
      <c r="L1665" s="2" t="s">
        <v>1244</v>
      </c>
      <c r="M1665" s="2" t="s">
        <v>303</v>
      </c>
      <c r="N1665" s="2" t="s">
        <v>23</v>
      </c>
      <c r="O1665" s="3" t="str">
        <f>"0,00"</f>
        <v>0,00</v>
      </c>
      <c r="P1665" s="4"/>
    </row>
    <row r="1666" spans="2:16" ht="63" x14ac:dyDescent="0.25">
      <c r="B1666" s="2">
        <v>1433</v>
      </c>
      <c r="C1666" s="2" t="str">
        <f>"14-15/NOS-40/15"</f>
        <v>14-15/NOS-40/15</v>
      </c>
      <c r="D1666" s="2" t="s">
        <v>16</v>
      </c>
      <c r="E1666" s="2" t="s">
        <v>1250</v>
      </c>
      <c r="F1666" s="2" t="s">
        <v>198</v>
      </c>
      <c r="G1666" s="2" t="str">
        <f>"14-15/NOS-40/15"</f>
        <v>14-15/NOS-40/15</v>
      </c>
      <c r="H1666" s="2" t="str">
        <f t="shared" si="41"/>
        <v>Ugovor - narudžbenica (periodični predmet)</v>
      </c>
      <c r="I1666" s="2" t="s">
        <v>19</v>
      </c>
      <c r="J1666" s="3" t="str">
        <f>"288.000,00"</f>
        <v>288.000,00</v>
      </c>
      <c r="K1666" s="2" t="s">
        <v>394</v>
      </c>
      <c r="L1666" s="2" t="s">
        <v>1244</v>
      </c>
      <c r="M1666" s="2" t="s">
        <v>201</v>
      </c>
      <c r="N1666" s="2" t="str">
        <f>"14.01.2016"</f>
        <v>14.01.2016</v>
      </c>
      <c r="O1666" s="3" t="str">
        <f>"76.500,00"</f>
        <v>76.500,00</v>
      </c>
      <c r="P1666" s="4"/>
    </row>
    <row r="1667" spans="2:16" ht="63" x14ac:dyDescent="0.25">
      <c r="B1667" s="2">
        <v>1434</v>
      </c>
      <c r="C1667" s="2" t="str">
        <f>"20-15/NOS-47/14"</f>
        <v>20-15/NOS-47/14</v>
      </c>
      <c r="D1667" s="2" t="s">
        <v>16</v>
      </c>
      <c r="E1667" s="2" t="s">
        <v>1250</v>
      </c>
      <c r="F1667" s="2" t="s">
        <v>1298</v>
      </c>
      <c r="G1667" s="2" t="str">
        <f>"20-15/NOS-47/14"</f>
        <v>20-15/NOS-47/14</v>
      </c>
      <c r="H1667" s="2" t="str">
        <f t="shared" si="41"/>
        <v>Ugovor - narudžbenica (periodični predmet)</v>
      </c>
      <c r="I1667" s="2" t="s">
        <v>19</v>
      </c>
      <c r="J1667" s="3" t="str">
        <f>"12.661,75"</f>
        <v>12.661,75</v>
      </c>
      <c r="K1667" s="2" t="s">
        <v>394</v>
      </c>
      <c r="L1667" s="2" t="s">
        <v>1408</v>
      </c>
      <c r="M1667" s="2" t="s">
        <v>960</v>
      </c>
      <c r="N1667" s="2" t="str">
        <f>"30.12.2015"</f>
        <v>30.12.2015</v>
      </c>
      <c r="O1667" s="3" t="str">
        <f>"12.014,13"</f>
        <v>12.014,13</v>
      </c>
      <c r="P1667" s="4"/>
    </row>
    <row r="1668" spans="2:16" ht="63" x14ac:dyDescent="0.25">
      <c r="B1668" s="2">
        <v>1435</v>
      </c>
      <c r="C1668" s="2" t="str">
        <f>"7-15/NOS-63-A/15"</f>
        <v>7-15/NOS-63-A/15</v>
      </c>
      <c r="D1668" s="2" t="s">
        <v>16</v>
      </c>
      <c r="E1668" s="2" t="s">
        <v>1250</v>
      </c>
      <c r="F1668" s="2" t="s">
        <v>1338</v>
      </c>
      <c r="G1668" s="2" t="str">
        <f>"7-15/NOS-63-A/15"</f>
        <v>7-15/NOS-63-A/15</v>
      </c>
      <c r="H1668" s="2" t="str">
        <f t="shared" si="41"/>
        <v>Ugovor - narudžbenica (periodični predmet)</v>
      </c>
      <c r="I1668" s="2" t="s">
        <v>19</v>
      </c>
      <c r="J1668" s="3" t="str">
        <f>"1.650,00"</f>
        <v>1.650,00</v>
      </c>
      <c r="K1668" s="2" t="s">
        <v>394</v>
      </c>
      <c r="L1668" s="2" t="s">
        <v>1408</v>
      </c>
      <c r="M1668" s="2" t="s">
        <v>84</v>
      </c>
      <c r="N1668" s="2" t="s">
        <v>23</v>
      </c>
      <c r="O1668" s="3" t="str">
        <f>"0,00"</f>
        <v>0,00</v>
      </c>
      <c r="P1668" s="4"/>
    </row>
    <row r="1669" spans="2:16" ht="63" x14ac:dyDescent="0.25">
      <c r="B1669" s="2">
        <v>1436</v>
      </c>
      <c r="C1669" s="2" t="str">
        <f>"7-15/NOS-70-B/15"</f>
        <v>7-15/NOS-70-B/15</v>
      </c>
      <c r="D1669" s="2" t="s">
        <v>16</v>
      </c>
      <c r="E1669" s="2" t="s">
        <v>1250</v>
      </c>
      <c r="F1669" s="2" t="s">
        <v>1342</v>
      </c>
      <c r="G1669" s="2" t="str">
        <f>"7-15/NOS-70-B/15"</f>
        <v>7-15/NOS-70-B/15</v>
      </c>
      <c r="H1669" s="2" t="str">
        <f t="shared" si="41"/>
        <v>Ugovor - narudžbenica (periodični predmet)</v>
      </c>
      <c r="I1669" s="2" t="s">
        <v>19</v>
      </c>
      <c r="J1669" s="3" t="str">
        <f>"8.844,00"</f>
        <v>8.844,00</v>
      </c>
      <c r="K1669" s="2" t="s">
        <v>394</v>
      </c>
      <c r="L1669" s="2" t="s">
        <v>1408</v>
      </c>
      <c r="M1669" s="2" t="s">
        <v>508</v>
      </c>
      <c r="N1669" s="2" t="str">
        <f>"29.12.2015"</f>
        <v>29.12.2015</v>
      </c>
      <c r="O1669" s="3" t="str">
        <f>"4.200,00"</f>
        <v>4.200,00</v>
      </c>
      <c r="P1669" s="4"/>
    </row>
    <row r="1670" spans="2:16" ht="63" x14ac:dyDescent="0.25">
      <c r="B1670" s="2">
        <v>1437</v>
      </c>
      <c r="C1670" s="2" t="str">
        <f>"14-15/NOS-70-A/15"</f>
        <v>14-15/NOS-70-A/15</v>
      </c>
      <c r="D1670" s="2" t="s">
        <v>16</v>
      </c>
      <c r="E1670" s="2" t="s">
        <v>1250</v>
      </c>
      <c r="F1670" s="2" t="s">
        <v>1342</v>
      </c>
      <c r="G1670" s="2" t="str">
        <f>"14-15/NOS-70-A/15"</f>
        <v>14-15/NOS-70-A/15</v>
      </c>
      <c r="H1670" s="2" t="str">
        <f t="shared" si="41"/>
        <v>Ugovor - narudžbenica (periodični predmet)</v>
      </c>
      <c r="I1670" s="2" t="s">
        <v>19</v>
      </c>
      <c r="J1670" s="3" t="str">
        <f>"5.620,00"</f>
        <v>5.620,00</v>
      </c>
      <c r="K1670" s="2" t="s">
        <v>394</v>
      </c>
      <c r="L1670" s="2" t="s">
        <v>1408</v>
      </c>
      <c r="M1670" s="2" t="s">
        <v>508</v>
      </c>
      <c r="N1670" s="2" t="str">
        <f>"31.12.2015"</f>
        <v>31.12.2015</v>
      </c>
      <c r="O1670" s="3" t="str">
        <f>"4.650,00"</f>
        <v>4.650,00</v>
      </c>
      <c r="P1670" s="4"/>
    </row>
    <row r="1671" spans="2:16" ht="63" x14ac:dyDescent="0.25">
      <c r="B1671" s="2">
        <v>1438</v>
      </c>
      <c r="C1671" s="2" t="str">
        <f>"5-15/NOS-75-D/15"</f>
        <v>5-15/NOS-75-D/15</v>
      </c>
      <c r="D1671" s="2" t="s">
        <v>16</v>
      </c>
      <c r="E1671" s="2" t="s">
        <v>1250</v>
      </c>
      <c r="F1671" s="2" t="s">
        <v>1337</v>
      </c>
      <c r="G1671" s="2" t="str">
        <f>"5-15/NOS-75-D/15"</f>
        <v>5-15/NOS-75-D/15</v>
      </c>
      <c r="H1671" s="2" t="str">
        <f t="shared" si="41"/>
        <v>Ugovor - narudžbenica (periodični predmet)</v>
      </c>
      <c r="I1671" s="2" t="s">
        <v>19</v>
      </c>
      <c r="J1671" s="3" t="str">
        <f>"6.085,80"</f>
        <v>6.085,80</v>
      </c>
      <c r="K1671" s="2" t="s">
        <v>394</v>
      </c>
      <c r="L1671" s="2" t="s">
        <v>1408</v>
      </c>
      <c r="M1671" s="2" t="s">
        <v>650</v>
      </c>
      <c r="N1671" s="2" t="s">
        <v>23</v>
      </c>
      <c r="O1671" s="3" t="str">
        <f>"0,00"</f>
        <v>0,00</v>
      </c>
      <c r="P1671" s="4"/>
    </row>
    <row r="1672" spans="2:16" ht="63" x14ac:dyDescent="0.25">
      <c r="B1672" s="2">
        <v>1439</v>
      </c>
      <c r="C1672" s="2" t="str">
        <f>"10-15/NOS-75-I/15"</f>
        <v>10-15/NOS-75-I/15</v>
      </c>
      <c r="D1672" s="2" t="s">
        <v>16</v>
      </c>
      <c r="E1672" s="2" t="s">
        <v>1250</v>
      </c>
      <c r="F1672" s="2" t="s">
        <v>1337</v>
      </c>
      <c r="G1672" s="2" t="str">
        <f>"10-15/NOS-75-I/15"</f>
        <v>10-15/NOS-75-I/15</v>
      </c>
      <c r="H1672" s="2" t="str">
        <f t="shared" si="41"/>
        <v>Ugovor - narudžbenica (periodični predmet)</v>
      </c>
      <c r="I1672" s="2" t="s">
        <v>19</v>
      </c>
      <c r="J1672" s="3" t="str">
        <f>"3.562,00"</f>
        <v>3.562,00</v>
      </c>
      <c r="K1672" s="2" t="s">
        <v>394</v>
      </c>
      <c r="L1672" s="2" t="s">
        <v>1408</v>
      </c>
      <c r="M1672" s="2" t="s">
        <v>612</v>
      </c>
      <c r="N1672" s="2" t="s">
        <v>23</v>
      </c>
      <c r="O1672" s="3" t="str">
        <f>"0,00"</f>
        <v>0,00</v>
      </c>
      <c r="P1672" s="4"/>
    </row>
    <row r="1673" spans="2:16" ht="63" x14ac:dyDescent="0.25">
      <c r="B1673" s="2">
        <v>1440</v>
      </c>
      <c r="C1673" s="2" t="str">
        <f>"11-15/NOS-75-F/15"</f>
        <v>11-15/NOS-75-F/15</v>
      </c>
      <c r="D1673" s="2" t="s">
        <v>16</v>
      </c>
      <c r="E1673" s="2" t="s">
        <v>1250</v>
      </c>
      <c r="F1673" s="2" t="s">
        <v>1337</v>
      </c>
      <c r="G1673" s="2" t="str">
        <f>"11-15/NOS-75-F/15"</f>
        <v>11-15/NOS-75-F/15</v>
      </c>
      <c r="H1673" s="2" t="str">
        <f t="shared" si="41"/>
        <v>Ugovor - narudžbenica (periodični predmet)</v>
      </c>
      <c r="I1673" s="2" t="s">
        <v>19</v>
      </c>
      <c r="J1673" s="3" t="str">
        <f>"1.048,00"</f>
        <v>1.048,00</v>
      </c>
      <c r="K1673" s="2" t="s">
        <v>394</v>
      </c>
      <c r="L1673" s="2" t="s">
        <v>1408</v>
      </c>
      <c r="M1673" s="2" t="s">
        <v>218</v>
      </c>
      <c r="N1673" s="2" t="s">
        <v>23</v>
      </c>
      <c r="O1673" s="3" t="str">
        <f>"0,00"</f>
        <v>0,00</v>
      </c>
      <c r="P1673" s="4"/>
    </row>
    <row r="1674" spans="2:16" ht="63" x14ac:dyDescent="0.25">
      <c r="B1674" s="2">
        <v>1441</v>
      </c>
      <c r="C1674" s="2" t="str">
        <f>"14-15/NOS-75-A/15"</f>
        <v>14-15/NOS-75-A/15</v>
      </c>
      <c r="D1674" s="2" t="s">
        <v>16</v>
      </c>
      <c r="E1674" s="2" t="s">
        <v>1250</v>
      </c>
      <c r="F1674" s="2" t="s">
        <v>1337</v>
      </c>
      <c r="G1674" s="2" t="str">
        <f>"14-15/NOS-75-A/15"</f>
        <v>14-15/NOS-75-A/15</v>
      </c>
      <c r="H1674" s="2" t="str">
        <f t="shared" si="41"/>
        <v>Ugovor - narudžbenica (periodični predmet)</v>
      </c>
      <c r="I1674" s="2" t="s">
        <v>19</v>
      </c>
      <c r="J1674" s="3" t="str">
        <f>"47.551,00"</f>
        <v>47.551,00</v>
      </c>
      <c r="K1674" s="2" t="s">
        <v>394</v>
      </c>
      <c r="L1674" s="2" t="s">
        <v>1408</v>
      </c>
      <c r="M1674" s="2" t="s">
        <v>218</v>
      </c>
      <c r="N1674" s="2" t="s">
        <v>23</v>
      </c>
      <c r="O1674" s="3" t="str">
        <f>"0,00"</f>
        <v>0,00</v>
      </c>
      <c r="P1674" s="4"/>
    </row>
    <row r="1675" spans="2:16" ht="63" x14ac:dyDescent="0.25">
      <c r="B1675" s="2">
        <v>1442</v>
      </c>
      <c r="C1675" s="2" t="str">
        <f>"8-15/NOS-75-C/15"</f>
        <v>8-15/NOS-75-C/15</v>
      </c>
      <c r="D1675" s="2" t="s">
        <v>16</v>
      </c>
      <c r="E1675" s="2" t="s">
        <v>1250</v>
      </c>
      <c r="F1675" s="2" t="s">
        <v>1337</v>
      </c>
      <c r="G1675" s="2" t="str">
        <f>"8-15/NOS-75-C/15"</f>
        <v>8-15/NOS-75-C/15</v>
      </c>
      <c r="H1675" s="2" t="str">
        <f t="shared" si="41"/>
        <v>Ugovor - narudžbenica (periodični predmet)</v>
      </c>
      <c r="I1675" s="2" t="s">
        <v>19</v>
      </c>
      <c r="J1675" s="3" t="str">
        <f>"138,00"</f>
        <v>138,00</v>
      </c>
      <c r="K1675" s="2" t="s">
        <v>394</v>
      </c>
      <c r="L1675" s="2" t="s">
        <v>1190</v>
      </c>
      <c r="M1675" s="2" t="s">
        <v>612</v>
      </c>
      <c r="N1675" s="2" t="s">
        <v>23</v>
      </c>
      <c r="O1675" s="3" t="str">
        <f>"0,00"</f>
        <v>0,00</v>
      </c>
      <c r="P1675" s="4"/>
    </row>
    <row r="1676" spans="2:16" ht="63" x14ac:dyDescent="0.25">
      <c r="B1676" s="2">
        <v>1443</v>
      </c>
      <c r="C1676" s="2" t="str">
        <f>"11-15/NOS-83-A/15"</f>
        <v>11-15/NOS-83-A/15</v>
      </c>
      <c r="D1676" s="2" t="s">
        <v>85</v>
      </c>
      <c r="E1676" s="2" t="s">
        <v>1250</v>
      </c>
      <c r="F1676" s="2" t="s">
        <v>1340</v>
      </c>
      <c r="G1676" s="2" t="str">
        <f>"11-15/NOS-83-A/15"</f>
        <v>11-15/NOS-83-A/15</v>
      </c>
      <c r="H1676" s="2" t="str">
        <f t="shared" si="41"/>
        <v>Ugovor - narudžbenica (periodični predmet)</v>
      </c>
      <c r="I1676" s="2" t="s">
        <v>19</v>
      </c>
      <c r="J1676" s="3" t="str">
        <f>"10.853,00"</f>
        <v>10.853,00</v>
      </c>
      <c r="K1676" s="2" t="s">
        <v>394</v>
      </c>
      <c r="L1676" s="2" t="s">
        <v>1408</v>
      </c>
      <c r="M1676" s="2" t="s">
        <v>1378</v>
      </c>
      <c r="N1676" s="2" t="str">
        <f>"08.01.2016"</f>
        <v>08.01.2016</v>
      </c>
      <c r="O1676" s="3" t="str">
        <f>"10.853,00"</f>
        <v>10.853,00</v>
      </c>
      <c r="P1676" s="4"/>
    </row>
    <row r="1677" spans="2:16" ht="63" x14ac:dyDescent="0.25">
      <c r="B1677" s="2">
        <v>1444</v>
      </c>
      <c r="C1677" s="2" t="str">
        <f>"28-15/NOS-83/14"</f>
        <v>28-15/NOS-83/14</v>
      </c>
      <c r="D1677" s="2" t="s">
        <v>16</v>
      </c>
      <c r="E1677" s="2" t="s">
        <v>1250</v>
      </c>
      <c r="F1677" s="2" t="s">
        <v>1273</v>
      </c>
      <c r="G1677" s="2" t="str">
        <f>"28-15/NOS-83/14"</f>
        <v>28-15/NOS-83/14</v>
      </c>
      <c r="H1677" s="2" t="str">
        <f t="shared" si="41"/>
        <v>Ugovor - narudžbenica (periodični predmet)</v>
      </c>
      <c r="I1677" s="2" t="s">
        <v>19</v>
      </c>
      <c r="J1677" s="3" t="str">
        <f>"3.288,00"</f>
        <v>3.288,00</v>
      </c>
      <c r="K1677" s="2" t="s">
        <v>394</v>
      </c>
      <c r="L1677" s="2" t="s">
        <v>1408</v>
      </c>
      <c r="M1677" s="2" t="s">
        <v>941</v>
      </c>
      <c r="N1677" s="2" t="str">
        <f>"28.12.2015"</f>
        <v>28.12.2015</v>
      </c>
      <c r="O1677" s="3" t="str">
        <f>"2.192,00"</f>
        <v>2.192,00</v>
      </c>
      <c r="P1677" s="4"/>
    </row>
    <row r="1678" spans="2:16" ht="63" x14ac:dyDescent="0.25">
      <c r="B1678" s="2">
        <v>1445</v>
      </c>
      <c r="C1678" s="2" t="str">
        <f>"15-15/NOS-99/14"</f>
        <v>15-15/NOS-99/14</v>
      </c>
      <c r="D1678" s="2" t="s">
        <v>16</v>
      </c>
      <c r="E1678" s="2" t="s">
        <v>1250</v>
      </c>
      <c r="F1678" s="2" t="s">
        <v>31</v>
      </c>
      <c r="G1678" s="2" t="str">
        <f>"15-15/NOS-99/14"</f>
        <v>15-15/NOS-99/14</v>
      </c>
      <c r="H1678" s="2" t="str">
        <f t="shared" si="41"/>
        <v>Ugovor - narudžbenica (periodični predmet)</v>
      </c>
      <c r="I1678" s="2" t="s">
        <v>19</v>
      </c>
      <c r="J1678" s="3" t="str">
        <f>"1.390,00"</f>
        <v>1.390,00</v>
      </c>
      <c r="K1678" s="2" t="s">
        <v>394</v>
      </c>
      <c r="L1678" s="2" t="s">
        <v>1411</v>
      </c>
      <c r="M1678" s="2" t="s">
        <v>34</v>
      </c>
      <c r="N1678" s="2" t="str">
        <f>"04.01.2016"</f>
        <v>04.01.2016</v>
      </c>
      <c r="O1678" s="3" t="str">
        <f>"1.390,00"</f>
        <v>1.390,00</v>
      </c>
      <c r="P1678" s="4"/>
    </row>
    <row r="1679" spans="2:16" ht="63" x14ac:dyDescent="0.25">
      <c r="B1679" s="2">
        <v>1446</v>
      </c>
      <c r="C1679" s="2" t="str">
        <f>"31-15/NOS-97/14"</f>
        <v>31-15/NOS-97/14</v>
      </c>
      <c r="D1679" s="2" t="s">
        <v>16</v>
      </c>
      <c r="E1679" s="2" t="s">
        <v>1250</v>
      </c>
      <c r="F1679" s="2" t="s">
        <v>1285</v>
      </c>
      <c r="G1679" s="2" t="str">
        <f>"31-15/NOS-97/14"</f>
        <v>31-15/NOS-97/14</v>
      </c>
      <c r="H1679" s="2" t="str">
        <f t="shared" si="41"/>
        <v>Ugovor - narudžbenica (periodični predmet)</v>
      </c>
      <c r="I1679" s="2" t="s">
        <v>19</v>
      </c>
      <c r="J1679" s="3" t="str">
        <f>"14.995,00"</f>
        <v>14.995,00</v>
      </c>
      <c r="K1679" s="2" t="s">
        <v>1211</v>
      </c>
      <c r="L1679" s="2" t="s">
        <v>1408</v>
      </c>
      <c r="M1679" s="2" t="s">
        <v>165</v>
      </c>
      <c r="N1679" s="2" t="str">
        <f>"13.01.2016"</f>
        <v>13.01.2016</v>
      </c>
      <c r="O1679" s="3" t="str">
        <f>"14.938,74"</f>
        <v>14.938,74</v>
      </c>
      <c r="P1679" s="4"/>
    </row>
    <row r="1680" spans="2:16" ht="63" x14ac:dyDescent="0.25">
      <c r="B1680" s="2">
        <v>1447</v>
      </c>
      <c r="C1680" s="2" t="str">
        <f>"14-15/NOS-99/14"</f>
        <v>14-15/NOS-99/14</v>
      </c>
      <c r="D1680" s="2" t="s">
        <v>16</v>
      </c>
      <c r="E1680" s="2" t="s">
        <v>1250</v>
      </c>
      <c r="F1680" s="2" t="s">
        <v>31</v>
      </c>
      <c r="G1680" s="2" t="str">
        <f>"14-15/NOS-99/14"</f>
        <v>14-15/NOS-99/14</v>
      </c>
      <c r="H1680" s="2" t="str">
        <f t="shared" si="41"/>
        <v>Ugovor - narudžbenica (periodični predmet)</v>
      </c>
      <c r="I1680" s="2" t="s">
        <v>19</v>
      </c>
      <c r="J1680" s="3" t="str">
        <f>"337,50"</f>
        <v>337,50</v>
      </c>
      <c r="K1680" s="2" t="s">
        <v>1211</v>
      </c>
      <c r="L1680" s="2" t="s">
        <v>1408</v>
      </c>
      <c r="M1680" s="2" t="s">
        <v>34</v>
      </c>
      <c r="N1680" s="2" t="s">
        <v>23</v>
      </c>
      <c r="O1680" s="3" t="str">
        <f>"0,00"</f>
        <v>0,00</v>
      </c>
      <c r="P1680" s="4"/>
    </row>
    <row r="1681" spans="2:16" ht="63" x14ac:dyDescent="0.25">
      <c r="B1681" s="2">
        <v>1448</v>
      </c>
      <c r="C1681" s="2" t="str">
        <f>"5-15/NOS-106/14"</f>
        <v>5-15/NOS-106/14</v>
      </c>
      <c r="D1681" s="2" t="s">
        <v>16</v>
      </c>
      <c r="E1681" s="2" t="s">
        <v>1250</v>
      </c>
      <c r="F1681" s="2" t="s">
        <v>51</v>
      </c>
      <c r="G1681" s="2" t="str">
        <f>"5-15/NOS-106/14"</f>
        <v>5-15/NOS-106/14</v>
      </c>
      <c r="H1681" s="2" t="str">
        <f t="shared" si="41"/>
        <v>Ugovor - narudžbenica (periodični predmet)</v>
      </c>
      <c r="I1681" s="2" t="s">
        <v>19</v>
      </c>
      <c r="J1681" s="3" t="str">
        <f>"523,80"</f>
        <v>523,80</v>
      </c>
      <c r="K1681" s="2" t="s">
        <v>1211</v>
      </c>
      <c r="L1681" s="2" t="s">
        <v>1244</v>
      </c>
      <c r="M1681" s="2" t="s">
        <v>52</v>
      </c>
      <c r="N1681" s="2" t="s">
        <v>23</v>
      </c>
      <c r="O1681" s="3" t="str">
        <f>"0,00"</f>
        <v>0,00</v>
      </c>
      <c r="P1681" s="4"/>
    </row>
    <row r="1682" spans="2:16" ht="63" x14ac:dyDescent="0.25">
      <c r="B1682" s="2">
        <v>1449</v>
      </c>
      <c r="C1682" s="2" t="str">
        <f>"19-15/NOS-47/14"</f>
        <v>19-15/NOS-47/14</v>
      </c>
      <c r="D1682" s="2" t="s">
        <v>16</v>
      </c>
      <c r="E1682" s="2" t="s">
        <v>1250</v>
      </c>
      <c r="F1682" s="2" t="s">
        <v>1298</v>
      </c>
      <c r="G1682" s="2" t="str">
        <f>"19-15/NOS-47/14"</f>
        <v>19-15/NOS-47/14</v>
      </c>
      <c r="H1682" s="2" t="str">
        <f t="shared" si="41"/>
        <v>Ugovor - narudžbenica (periodični predmet)</v>
      </c>
      <c r="I1682" s="2" t="s">
        <v>19</v>
      </c>
      <c r="J1682" s="3" t="str">
        <f>"9.608,50"</f>
        <v>9.608,50</v>
      </c>
      <c r="K1682" s="2" t="s">
        <v>1211</v>
      </c>
      <c r="L1682" s="2" t="s">
        <v>1244</v>
      </c>
      <c r="M1682" s="2" t="s">
        <v>960</v>
      </c>
      <c r="N1682" s="2" t="str">
        <f>"30.12.2015"</f>
        <v>30.12.2015</v>
      </c>
      <c r="O1682" s="3" t="str">
        <f>"9.608,50"</f>
        <v>9.608,50</v>
      </c>
      <c r="P1682" s="4"/>
    </row>
    <row r="1683" spans="2:16" ht="63" x14ac:dyDescent="0.25">
      <c r="B1683" s="2">
        <v>1450</v>
      </c>
      <c r="C1683" s="2" t="str">
        <f>"18-15/NOS-108/14"</f>
        <v>18-15/NOS-108/14</v>
      </c>
      <c r="D1683" s="2" t="s">
        <v>16</v>
      </c>
      <c r="E1683" s="2" t="s">
        <v>1250</v>
      </c>
      <c r="F1683" s="2" t="s">
        <v>41</v>
      </c>
      <c r="G1683" s="2" t="str">
        <f>"18-15/NOS-108/14"</f>
        <v>18-15/NOS-108/14</v>
      </c>
      <c r="H1683" s="2" t="str">
        <f t="shared" si="41"/>
        <v>Ugovor - narudžbenica (periodični predmet)</v>
      </c>
      <c r="I1683" s="2" t="s">
        <v>19</v>
      </c>
      <c r="J1683" s="3" t="str">
        <f>"17.219,60"</f>
        <v>17.219,60</v>
      </c>
      <c r="K1683" s="2" t="s">
        <v>1211</v>
      </c>
      <c r="L1683" s="2" t="s">
        <v>1408</v>
      </c>
      <c r="M1683" s="2" t="s">
        <v>45</v>
      </c>
      <c r="N1683" s="2" t="str">
        <f>"12.01.2016"</f>
        <v>12.01.2016</v>
      </c>
      <c r="O1683" s="3" t="str">
        <f>"9.307,60"</f>
        <v>9.307,60</v>
      </c>
      <c r="P1683" s="4"/>
    </row>
    <row r="1684" spans="2:16" ht="63" x14ac:dyDescent="0.25">
      <c r="B1684" s="2">
        <v>1451</v>
      </c>
      <c r="C1684" s="2" t="str">
        <f>"10-15/NOS-67/15"</f>
        <v>10-15/NOS-67/15</v>
      </c>
      <c r="D1684" s="2" t="s">
        <v>16</v>
      </c>
      <c r="E1684" s="2" t="s">
        <v>1250</v>
      </c>
      <c r="F1684" s="2" t="s">
        <v>511</v>
      </c>
      <c r="G1684" s="2" t="str">
        <f>"10-15/NOS-67/15"</f>
        <v>10-15/NOS-67/15</v>
      </c>
      <c r="H1684" s="2" t="str">
        <f t="shared" si="41"/>
        <v>Ugovor - narudžbenica (periodični predmet)</v>
      </c>
      <c r="I1684" s="2" t="s">
        <v>19</v>
      </c>
      <c r="J1684" s="3" t="str">
        <f>"6.535,12"</f>
        <v>6.535,12</v>
      </c>
      <c r="K1684" s="2" t="s">
        <v>1211</v>
      </c>
      <c r="L1684" s="2" t="s">
        <v>1408</v>
      </c>
      <c r="M1684" s="2" t="s">
        <v>512</v>
      </c>
      <c r="N1684" s="2" t="str">
        <f>"12.01.2016"</f>
        <v>12.01.2016</v>
      </c>
      <c r="O1684" s="3" t="str">
        <f>"6.535,12"</f>
        <v>6.535,12</v>
      </c>
      <c r="P1684" s="4"/>
    </row>
    <row r="1685" spans="2:16" ht="63" x14ac:dyDescent="0.25">
      <c r="B1685" s="2">
        <v>1452</v>
      </c>
      <c r="C1685" s="2" t="str">
        <f>"12-15/NOS-54/15"</f>
        <v>12-15/NOS-54/15</v>
      </c>
      <c r="D1685" s="2" t="s">
        <v>16</v>
      </c>
      <c r="E1685" s="2" t="s">
        <v>1250</v>
      </c>
      <c r="F1685" s="2" t="s">
        <v>255</v>
      </c>
      <c r="G1685" s="2" t="str">
        <f>"12-15/NOS-54/15"</f>
        <v>12-15/NOS-54/15</v>
      </c>
      <c r="H1685" s="2" t="str">
        <f t="shared" si="41"/>
        <v>Ugovor - narudžbenica (periodični predmet)</v>
      </c>
      <c r="I1685" s="2" t="s">
        <v>19</v>
      </c>
      <c r="J1685" s="3" t="str">
        <f>"27.590,00"</f>
        <v>27.590,00</v>
      </c>
      <c r="K1685" s="2" t="s">
        <v>1211</v>
      </c>
      <c r="L1685" s="2" t="s">
        <v>1408</v>
      </c>
      <c r="M1685" s="2" t="s">
        <v>84</v>
      </c>
      <c r="N1685" s="2" t="s">
        <v>23</v>
      </c>
      <c r="O1685" s="3" t="str">
        <f>"0,00"</f>
        <v>0,00</v>
      </c>
      <c r="P1685" s="4"/>
    </row>
    <row r="1686" spans="2:16" ht="63" x14ac:dyDescent="0.25">
      <c r="B1686" s="2">
        <v>1453</v>
      </c>
      <c r="C1686" s="2" t="str">
        <f>"19-15/NOS-111/11"</f>
        <v>19-15/NOS-111/11</v>
      </c>
      <c r="D1686" s="2" t="s">
        <v>16</v>
      </c>
      <c r="E1686" s="2" t="s">
        <v>1250</v>
      </c>
      <c r="F1686" s="2" t="s">
        <v>1371</v>
      </c>
      <c r="G1686" s="2" t="str">
        <f>"19-15/NOS-111/11"</f>
        <v>19-15/NOS-111/11</v>
      </c>
      <c r="H1686" s="2" t="str">
        <f t="shared" si="41"/>
        <v>Ugovor - narudžbenica (periodični predmet)</v>
      </c>
      <c r="I1686" s="2" t="s">
        <v>19</v>
      </c>
      <c r="J1686" s="3" t="str">
        <f>"39.600,00"</f>
        <v>39.600,00</v>
      </c>
      <c r="K1686" s="2" t="s">
        <v>1211</v>
      </c>
      <c r="L1686" s="2" t="s">
        <v>1412</v>
      </c>
      <c r="M1686" s="2" t="s">
        <v>1372</v>
      </c>
      <c r="N1686" s="2" t="s">
        <v>23</v>
      </c>
      <c r="O1686" s="3" t="str">
        <f>"0,00"</f>
        <v>0,00</v>
      </c>
      <c r="P1686" s="4"/>
    </row>
    <row r="1687" spans="2:16" ht="63" x14ac:dyDescent="0.25">
      <c r="B1687" s="2">
        <v>1454</v>
      </c>
      <c r="C1687" s="2" t="str">
        <f>"45-15/NOS-29/12"</f>
        <v>45-15/NOS-29/12</v>
      </c>
      <c r="D1687" s="2" t="s">
        <v>85</v>
      </c>
      <c r="E1687" s="2" t="s">
        <v>1250</v>
      </c>
      <c r="F1687" s="2" t="s">
        <v>1269</v>
      </c>
      <c r="G1687" s="2" t="str">
        <f>"45-15/NOS-29/12"</f>
        <v>45-15/NOS-29/12</v>
      </c>
      <c r="H1687" s="2" t="str">
        <f t="shared" si="41"/>
        <v>Ugovor - narudžbenica (periodični predmet)</v>
      </c>
      <c r="I1687" s="2" t="s">
        <v>19</v>
      </c>
      <c r="J1687" s="3" t="str">
        <f>"79.844,28"</f>
        <v>79.844,28</v>
      </c>
      <c r="K1687" s="2" t="s">
        <v>1211</v>
      </c>
      <c r="L1687" s="2" t="s">
        <v>1408</v>
      </c>
      <c r="M1687" s="2" t="s">
        <v>250</v>
      </c>
      <c r="N1687" s="2" t="s">
        <v>23</v>
      </c>
      <c r="O1687" s="3" t="str">
        <f>"0,00"</f>
        <v>0,00</v>
      </c>
      <c r="P1687" s="4"/>
    </row>
    <row r="1688" spans="2:16" ht="63" x14ac:dyDescent="0.25">
      <c r="B1688" s="2">
        <v>1455</v>
      </c>
      <c r="C1688" s="2" t="str">
        <f>"17-15/NOS-90/14"</f>
        <v>17-15/NOS-90/14</v>
      </c>
      <c r="D1688" s="2" t="s">
        <v>16</v>
      </c>
      <c r="E1688" s="2" t="s">
        <v>1250</v>
      </c>
      <c r="F1688" s="2" t="s">
        <v>1274</v>
      </c>
      <c r="G1688" s="2" t="str">
        <f>"17-15/NOS-90/14"</f>
        <v>17-15/NOS-90/14</v>
      </c>
      <c r="H1688" s="2" t="str">
        <f t="shared" si="41"/>
        <v>Ugovor - narudžbenica (periodični predmet)</v>
      </c>
      <c r="I1688" s="2" t="s">
        <v>19</v>
      </c>
      <c r="J1688" s="3" t="str">
        <f>"8.640,00"</f>
        <v>8.640,00</v>
      </c>
      <c r="K1688" s="2" t="s">
        <v>1211</v>
      </c>
      <c r="L1688" s="2" t="s">
        <v>1244</v>
      </c>
      <c r="M1688" s="2" t="s">
        <v>419</v>
      </c>
      <c r="N1688" s="2" t="str">
        <f>"28.12.2015"</f>
        <v>28.12.2015</v>
      </c>
      <c r="O1688" s="3" t="str">
        <f>"8.640,00"</f>
        <v>8.640,00</v>
      </c>
      <c r="P1688" s="4"/>
    </row>
    <row r="1689" spans="2:16" ht="63" x14ac:dyDescent="0.25">
      <c r="B1689" s="2">
        <v>1456</v>
      </c>
      <c r="C1689" s="2" t="str">
        <f>"10-15/NOS-119/15"</f>
        <v>10-15/NOS-119/15</v>
      </c>
      <c r="D1689" s="2" t="s">
        <v>28</v>
      </c>
      <c r="E1689" s="2" t="s">
        <v>1250</v>
      </c>
      <c r="F1689" s="2" t="s">
        <v>455</v>
      </c>
      <c r="G1689" s="2" t="str">
        <f>"10-15/NOS-119/15"</f>
        <v>10-15/NOS-119/15</v>
      </c>
      <c r="H1689" s="2" t="str">
        <f t="shared" si="41"/>
        <v>Ugovor - narudžbenica (periodični predmet)</v>
      </c>
      <c r="I1689" s="2" t="s">
        <v>19</v>
      </c>
      <c r="J1689" s="3" t="str">
        <f>"48.784,68"</f>
        <v>48.784,68</v>
      </c>
      <c r="K1689" s="2" t="s">
        <v>1211</v>
      </c>
      <c r="L1689" s="2" t="s">
        <v>1411</v>
      </c>
      <c r="M1689" s="2" t="s">
        <v>458</v>
      </c>
      <c r="N1689" s="2" t="s">
        <v>23</v>
      </c>
      <c r="O1689" s="3" t="str">
        <f>"0,00"</f>
        <v>0,00</v>
      </c>
      <c r="P1689" s="4"/>
    </row>
    <row r="1690" spans="2:16" ht="63" x14ac:dyDescent="0.25">
      <c r="B1690" s="2">
        <v>1457</v>
      </c>
      <c r="C1690" s="2" t="str">
        <f>"1-15/NOS-128/15"</f>
        <v>1-15/NOS-128/15</v>
      </c>
      <c r="D1690" s="2" t="s">
        <v>16</v>
      </c>
      <c r="E1690" s="2" t="s">
        <v>1250</v>
      </c>
      <c r="F1690" s="2" t="s">
        <v>498</v>
      </c>
      <c r="G1690" s="2" t="str">
        <f>"1-15/NOS-128/15"</f>
        <v>1-15/NOS-128/15</v>
      </c>
      <c r="H1690" s="2" t="str">
        <f t="shared" si="41"/>
        <v>Ugovor - narudžbenica (periodični predmet)</v>
      </c>
      <c r="I1690" s="2" t="s">
        <v>19</v>
      </c>
      <c r="J1690" s="3" t="str">
        <f>"30.150,00"</f>
        <v>30.150,00</v>
      </c>
      <c r="K1690" s="2" t="s">
        <v>1211</v>
      </c>
      <c r="L1690" s="2" t="s">
        <v>1244</v>
      </c>
      <c r="M1690" s="2" t="s">
        <v>504</v>
      </c>
      <c r="N1690" s="2" t="str">
        <f>"07.01.2016"</f>
        <v>07.01.2016</v>
      </c>
      <c r="O1690" s="3" t="str">
        <f>"16.750,00"</f>
        <v>16.750,00</v>
      </c>
      <c r="P1690" s="4"/>
    </row>
    <row r="1691" spans="2:16" ht="63" x14ac:dyDescent="0.25">
      <c r="B1691" s="2">
        <v>1458</v>
      </c>
      <c r="C1691" s="2" t="str">
        <f>"3-15/NOS-130/15"</f>
        <v>3-15/NOS-130/15</v>
      </c>
      <c r="D1691" s="2" t="s">
        <v>16</v>
      </c>
      <c r="E1691" s="2" t="s">
        <v>1250</v>
      </c>
      <c r="F1691" s="2" t="s">
        <v>536</v>
      </c>
      <c r="G1691" s="2" t="str">
        <f>"3-15/NOS-130/15"</f>
        <v>3-15/NOS-130/15</v>
      </c>
      <c r="H1691" s="2" t="str">
        <f t="shared" si="41"/>
        <v>Ugovor - narudžbenica (periodični predmet)</v>
      </c>
      <c r="I1691" s="2" t="s">
        <v>19</v>
      </c>
      <c r="J1691" s="3" t="str">
        <f>"11.990,00"</f>
        <v>11.990,00</v>
      </c>
      <c r="K1691" s="2" t="s">
        <v>1211</v>
      </c>
      <c r="L1691" s="2" t="s">
        <v>1408</v>
      </c>
      <c r="M1691" s="2" t="s">
        <v>84</v>
      </c>
      <c r="N1691" s="2" t="s">
        <v>23</v>
      </c>
      <c r="O1691" s="3" t="str">
        <f>"0,00"</f>
        <v>0,00</v>
      </c>
      <c r="P1691" s="4"/>
    </row>
    <row r="1692" spans="2:16" ht="63" x14ac:dyDescent="0.25">
      <c r="B1692" s="2">
        <v>1459</v>
      </c>
      <c r="C1692" s="2" t="str">
        <f>"15-15/NOS-183/13"</f>
        <v>15-15/NOS-183/13</v>
      </c>
      <c r="D1692" s="2" t="s">
        <v>28</v>
      </c>
      <c r="E1692" s="2" t="s">
        <v>1250</v>
      </c>
      <c r="F1692" s="2" t="s">
        <v>1292</v>
      </c>
      <c r="G1692" s="2" t="str">
        <f>"15-15/NOS-183/13"</f>
        <v>15-15/NOS-183/13</v>
      </c>
      <c r="H1692" s="2" t="str">
        <f t="shared" si="41"/>
        <v>Ugovor - narudžbenica (periodični predmet)</v>
      </c>
      <c r="I1692" s="2" t="s">
        <v>19</v>
      </c>
      <c r="J1692" s="3" t="str">
        <f>"1.718,30"</f>
        <v>1.718,30</v>
      </c>
      <c r="K1692" s="2" t="s">
        <v>1211</v>
      </c>
      <c r="L1692" s="2" t="s">
        <v>1408</v>
      </c>
      <c r="M1692" s="2" t="s">
        <v>1293</v>
      </c>
      <c r="N1692" s="2" t="str">
        <f>"11.01.2016"</f>
        <v>11.01.2016</v>
      </c>
      <c r="O1692" s="3" t="str">
        <f>"1.718,30"</f>
        <v>1.718,30</v>
      </c>
      <c r="P1692" s="4"/>
    </row>
    <row r="1693" spans="2:16" ht="63" x14ac:dyDescent="0.25">
      <c r="B1693" s="2">
        <v>1460</v>
      </c>
      <c r="C1693" s="2" t="str">
        <f>"13-15/NOS-60/15"</f>
        <v>13-15/NOS-60/15</v>
      </c>
      <c r="D1693" s="2" t="s">
        <v>28</v>
      </c>
      <c r="E1693" s="2" t="s">
        <v>1250</v>
      </c>
      <c r="F1693" s="2" t="s">
        <v>157</v>
      </c>
      <c r="G1693" s="2" t="str">
        <f>"13-15/NOS-60/15"</f>
        <v>13-15/NOS-60/15</v>
      </c>
      <c r="H1693" s="2" t="str">
        <f t="shared" si="41"/>
        <v>Ugovor - narudžbenica (periodični predmet)</v>
      </c>
      <c r="I1693" s="2" t="s">
        <v>19</v>
      </c>
      <c r="J1693" s="3" t="str">
        <f>"21.026,00"</f>
        <v>21.026,00</v>
      </c>
      <c r="K1693" s="2" t="s">
        <v>1211</v>
      </c>
      <c r="L1693" s="2" t="s">
        <v>1408</v>
      </c>
      <c r="M1693" s="2" t="s">
        <v>160</v>
      </c>
      <c r="N1693" s="2" t="s">
        <v>23</v>
      </c>
      <c r="O1693" s="3" t="str">
        <f>"0,00"</f>
        <v>0,00</v>
      </c>
      <c r="P1693" s="4"/>
    </row>
    <row r="1694" spans="2:16" ht="63" x14ac:dyDescent="0.25">
      <c r="B1694" s="2">
        <v>1461</v>
      </c>
      <c r="C1694" s="2" t="str">
        <f>"23-15/NOS-205/13"</f>
        <v>23-15/NOS-205/13</v>
      </c>
      <c r="D1694" s="2" t="s">
        <v>16</v>
      </c>
      <c r="E1694" s="2" t="s">
        <v>1250</v>
      </c>
      <c r="F1694" s="2" t="s">
        <v>1290</v>
      </c>
      <c r="G1694" s="2" t="str">
        <f>"23-15/NOS-205/13"</f>
        <v>23-15/NOS-205/13</v>
      </c>
      <c r="H1694" s="2" t="str">
        <f t="shared" si="41"/>
        <v>Ugovor - narudžbenica (periodični predmet)</v>
      </c>
      <c r="I1694" s="2" t="s">
        <v>19</v>
      </c>
      <c r="J1694" s="3" t="str">
        <f>"9.750,00"</f>
        <v>9.750,00</v>
      </c>
      <c r="K1694" s="2" t="s">
        <v>1211</v>
      </c>
      <c r="L1694" s="2" t="s">
        <v>1408</v>
      </c>
      <c r="M1694" s="2" t="s">
        <v>84</v>
      </c>
      <c r="N1694" s="2" t="s">
        <v>23</v>
      </c>
      <c r="O1694" s="3" t="str">
        <f>"0,00"</f>
        <v>0,00</v>
      </c>
      <c r="P1694" s="4"/>
    </row>
    <row r="1695" spans="2:16" ht="63" x14ac:dyDescent="0.25">
      <c r="B1695" s="2">
        <v>1462</v>
      </c>
      <c r="C1695" s="2" t="str">
        <f>"17-15/NOS-203/13"</f>
        <v>17-15/NOS-203/13</v>
      </c>
      <c r="D1695" s="2" t="s">
        <v>16</v>
      </c>
      <c r="E1695" s="2" t="s">
        <v>1250</v>
      </c>
      <c r="F1695" s="2" t="s">
        <v>1303</v>
      </c>
      <c r="G1695" s="2" t="str">
        <f>"17-15/NOS-203/13"</f>
        <v>17-15/NOS-203/13</v>
      </c>
      <c r="H1695" s="2" t="str">
        <f t="shared" si="41"/>
        <v>Ugovor - narudžbenica (periodični predmet)</v>
      </c>
      <c r="I1695" s="2" t="s">
        <v>19</v>
      </c>
      <c r="J1695" s="3" t="str">
        <f>"3.339,95"</f>
        <v>3.339,95</v>
      </c>
      <c r="K1695" s="2" t="s">
        <v>1211</v>
      </c>
      <c r="L1695" s="2" t="s">
        <v>1408</v>
      </c>
      <c r="M1695" s="2" t="s">
        <v>1305</v>
      </c>
      <c r="N1695" s="2" t="str">
        <f>"30.12.2015"</f>
        <v>30.12.2015</v>
      </c>
      <c r="O1695" s="3" t="str">
        <f>"3.339,95"</f>
        <v>3.339,95</v>
      </c>
      <c r="P1695" s="4"/>
    </row>
    <row r="1696" spans="2:16" ht="63" x14ac:dyDescent="0.25">
      <c r="B1696" s="2">
        <v>1463</v>
      </c>
      <c r="C1696" s="2" t="str">
        <f>"7-15/NOS-210-C/13"</f>
        <v>7-15/NOS-210-C/13</v>
      </c>
      <c r="D1696" s="2" t="s">
        <v>85</v>
      </c>
      <c r="E1696" s="2" t="s">
        <v>1250</v>
      </c>
      <c r="F1696" s="2" t="s">
        <v>1294</v>
      </c>
      <c r="G1696" s="2" t="str">
        <f>"7-15/NOS-210-C/13"</f>
        <v>7-15/NOS-210-C/13</v>
      </c>
      <c r="H1696" s="2" t="str">
        <f t="shared" si="41"/>
        <v>Ugovor - narudžbenica (periodični predmet)</v>
      </c>
      <c r="I1696" s="2" t="s">
        <v>19</v>
      </c>
      <c r="J1696" s="3" t="str">
        <f>"10.944,00"</f>
        <v>10.944,00</v>
      </c>
      <c r="K1696" s="2" t="s">
        <v>1211</v>
      </c>
      <c r="L1696" s="2" t="s">
        <v>1408</v>
      </c>
      <c r="M1696" s="2" t="s">
        <v>84</v>
      </c>
      <c r="N1696" s="2" t="s">
        <v>23</v>
      </c>
      <c r="O1696" s="3" t="str">
        <f>"0,00"</f>
        <v>0,00</v>
      </c>
      <c r="P1696" s="4"/>
    </row>
    <row r="1697" spans="2:16" ht="63" x14ac:dyDescent="0.25">
      <c r="B1697" s="2">
        <v>1464</v>
      </c>
      <c r="C1697" s="2" t="str">
        <f>"18-15/NOS-122/14"</f>
        <v>18-15/NOS-122/14</v>
      </c>
      <c r="D1697" s="2" t="s">
        <v>16</v>
      </c>
      <c r="E1697" s="2" t="s">
        <v>1250</v>
      </c>
      <c r="F1697" s="2" t="s">
        <v>58</v>
      </c>
      <c r="G1697" s="2" t="str">
        <f>"18-15/NOS-122/14"</f>
        <v>18-15/NOS-122/14</v>
      </c>
      <c r="H1697" s="2" t="str">
        <f t="shared" ref="H1697:H1728" si="42">"Ugovor - narudžbenica (periodični predmet)"</f>
        <v>Ugovor - narudžbenica (periodični predmet)</v>
      </c>
      <c r="I1697" s="2" t="s">
        <v>19</v>
      </c>
      <c r="J1697" s="3" t="str">
        <f>"858,61"</f>
        <v>858,61</v>
      </c>
      <c r="K1697" s="2" t="s">
        <v>1211</v>
      </c>
      <c r="L1697" s="2" t="s">
        <v>1408</v>
      </c>
      <c r="M1697" s="2" t="s">
        <v>62</v>
      </c>
      <c r="N1697" s="2" t="str">
        <f>"05.01.2016"</f>
        <v>05.01.2016</v>
      </c>
      <c r="O1697" s="3" t="str">
        <f>"672,31"</f>
        <v>672,31</v>
      </c>
      <c r="P1697" s="4"/>
    </row>
    <row r="1698" spans="2:16" ht="63" x14ac:dyDescent="0.25">
      <c r="B1698" s="2">
        <v>1465</v>
      </c>
      <c r="C1698" s="2" t="str">
        <f>"13-15/NOS-90/15"</f>
        <v>13-15/NOS-90/15</v>
      </c>
      <c r="D1698" s="2" t="s">
        <v>28</v>
      </c>
      <c r="E1698" s="2" t="s">
        <v>1250</v>
      </c>
      <c r="F1698" s="2" t="s">
        <v>177</v>
      </c>
      <c r="G1698" s="2" t="str">
        <f>"13-15/NOS-90/15"</f>
        <v>13-15/NOS-90/15</v>
      </c>
      <c r="H1698" s="2" t="str">
        <f t="shared" si="42"/>
        <v>Ugovor - narudžbenica (periodični predmet)</v>
      </c>
      <c r="I1698" s="2" t="s">
        <v>19</v>
      </c>
      <c r="J1698" s="3" t="str">
        <f>"95.145,02"</f>
        <v>95.145,02</v>
      </c>
      <c r="K1698" s="2" t="s">
        <v>1211</v>
      </c>
      <c r="L1698" s="2" t="s">
        <v>1408</v>
      </c>
      <c r="M1698" s="2" t="s">
        <v>89</v>
      </c>
      <c r="N1698" s="2" t="s">
        <v>23</v>
      </c>
      <c r="O1698" s="3" t="str">
        <f>"0,00"</f>
        <v>0,00</v>
      </c>
      <c r="P1698" s="4"/>
    </row>
    <row r="1699" spans="2:16" ht="63" x14ac:dyDescent="0.25">
      <c r="B1699" s="2">
        <v>1466</v>
      </c>
      <c r="C1699" s="2" t="str">
        <f>"11-15/NOS-62/15"</f>
        <v>11-15/NOS-62/15</v>
      </c>
      <c r="D1699" s="2" t="s">
        <v>16</v>
      </c>
      <c r="E1699" s="2" t="s">
        <v>1250</v>
      </c>
      <c r="F1699" s="2" t="s">
        <v>211</v>
      </c>
      <c r="G1699" s="2" t="str">
        <f>"11-15/NOS-62/15"</f>
        <v>11-15/NOS-62/15</v>
      </c>
      <c r="H1699" s="2" t="str">
        <f t="shared" si="42"/>
        <v>Ugovor - narudžbenica (periodični predmet)</v>
      </c>
      <c r="I1699" s="2" t="s">
        <v>19</v>
      </c>
      <c r="J1699" s="3" t="str">
        <f>"2.340,00"</f>
        <v>2.340,00</v>
      </c>
      <c r="K1699" s="2" t="s">
        <v>1211</v>
      </c>
      <c r="L1699" s="2" t="s">
        <v>1408</v>
      </c>
      <c r="M1699" s="2" t="s">
        <v>213</v>
      </c>
      <c r="N1699" s="2" t="s">
        <v>23</v>
      </c>
      <c r="O1699" s="3" t="str">
        <f>"0,00"</f>
        <v>0,00</v>
      </c>
      <c r="P1699" s="4"/>
    </row>
    <row r="1700" spans="2:16" ht="63" x14ac:dyDescent="0.25">
      <c r="B1700" s="2">
        <v>1467</v>
      </c>
      <c r="C1700" s="2" t="str">
        <f>"9-15/NOS-110/15"</f>
        <v>9-15/NOS-110/15</v>
      </c>
      <c r="D1700" s="2" t="s">
        <v>28</v>
      </c>
      <c r="E1700" s="2" t="s">
        <v>1250</v>
      </c>
      <c r="F1700" s="2" t="s">
        <v>463</v>
      </c>
      <c r="G1700" s="2" t="str">
        <f>"9-15/NOS-110/15"</f>
        <v>9-15/NOS-110/15</v>
      </c>
      <c r="H1700" s="2" t="str">
        <f t="shared" si="42"/>
        <v>Ugovor - narudžbenica (periodični predmet)</v>
      </c>
      <c r="I1700" s="2" t="s">
        <v>19</v>
      </c>
      <c r="J1700" s="3" t="str">
        <f>"10.656,14"</f>
        <v>10.656,14</v>
      </c>
      <c r="K1700" s="2" t="s">
        <v>1211</v>
      </c>
      <c r="L1700" s="2" t="s">
        <v>1408</v>
      </c>
      <c r="M1700" s="2" t="s">
        <v>44</v>
      </c>
      <c r="N1700" s="2" t="s">
        <v>23</v>
      </c>
      <c r="O1700" s="3" t="str">
        <f>"0,00"</f>
        <v>0,00</v>
      </c>
      <c r="P1700" s="4"/>
    </row>
    <row r="1701" spans="2:16" ht="63" x14ac:dyDescent="0.25">
      <c r="B1701" s="2">
        <v>1468</v>
      </c>
      <c r="C1701" s="2" t="str">
        <f>"46-15/NOS-29/12"</f>
        <v>46-15/NOS-29/12</v>
      </c>
      <c r="D1701" s="2" t="s">
        <v>85</v>
      </c>
      <c r="E1701" s="2" t="s">
        <v>1250</v>
      </c>
      <c r="F1701" s="2" t="s">
        <v>1269</v>
      </c>
      <c r="G1701" s="2" t="str">
        <f>"46-15/NOS-29/12"</f>
        <v>46-15/NOS-29/12</v>
      </c>
      <c r="H1701" s="2" t="str">
        <f t="shared" si="42"/>
        <v>Ugovor - narudžbenica (periodični predmet)</v>
      </c>
      <c r="I1701" s="2" t="s">
        <v>19</v>
      </c>
      <c r="J1701" s="3" t="str">
        <f>"51.613,00"</f>
        <v>51.613,00</v>
      </c>
      <c r="K1701" s="2" t="s">
        <v>1400</v>
      </c>
      <c r="L1701" s="2" t="s">
        <v>1408</v>
      </c>
      <c r="M1701" s="2" t="s">
        <v>345</v>
      </c>
      <c r="N1701" s="2" t="s">
        <v>23</v>
      </c>
      <c r="O1701" s="3" t="str">
        <f>"0,00"</f>
        <v>0,00</v>
      </c>
      <c r="P1701" s="4"/>
    </row>
    <row r="1702" spans="2:16" ht="63" x14ac:dyDescent="0.25">
      <c r="B1702" s="2">
        <v>1469</v>
      </c>
      <c r="C1702" s="2" t="str">
        <f>"19-15/NOS-56/14"</f>
        <v>19-15/NOS-56/14</v>
      </c>
      <c r="D1702" s="2" t="s">
        <v>16</v>
      </c>
      <c r="E1702" s="2" t="s">
        <v>1250</v>
      </c>
      <c r="F1702" s="2" t="s">
        <v>1286</v>
      </c>
      <c r="G1702" s="2" t="str">
        <f>"19-15/NOS-56/14"</f>
        <v>19-15/NOS-56/14</v>
      </c>
      <c r="H1702" s="2" t="str">
        <f t="shared" si="42"/>
        <v>Ugovor - narudžbenica (periodični predmet)</v>
      </c>
      <c r="I1702" s="2" t="s">
        <v>19</v>
      </c>
      <c r="J1702" s="3" t="str">
        <f>"1.625,00"</f>
        <v>1.625,00</v>
      </c>
      <c r="K1702" s="2" t="s">
        <v>390</v>
      </c>
      <c r="L1702" s="2" t="s">
        <v>1407</v>
      </c>
      <c r="M1702" s="2" t="s">
        <v>715</v>
      </c>
      <c r="N1702" s="2" t="str">
        <f>"05.01.2016"</f>
        <v>05.01.2016</v>
      </c>
      <c r="O1702" s="3" t="str">
        <f>"1.625,00"</f>
        <v>1.625,00</v>
      </c>
      <c r="P1702" s="4"/>
    </row>
    <row r="1703" spans="2:16" ht="63" x14ac:dyDescent="0.25">
      <c r="B1703" s="2">
        <v>1470</v>
      </c>
      <c r="C1703" s="2" t="str">
        <f>"1-15/NOS-70-C/15"</f>
        <v>1-15/NOS-70-C/15</v>
      </c>
      <c r="D1703" s="2" t="s">
        <v>16</v>
      </c>
      <c r="E1703" s="2" t="s">
        <v>1250</v>
      </c>
      <c r="F1703" s="2" t="s">
        <v>1342</v>
      </c>
      <c r="G1703" s="2" t="str">
        <f>"1-15/NOS-70-C/15"</f>
        <v>1-15/NOS-70-C/15</v>
      </c>
      <c r="H1703" s="2" t="str">
        <f t="shared" si="42"/>
        <v>Ugovor - narudžbenica (periodični predmet)</v>
      </c>
      <c r="I1703" s="2" t="s">
        <v>19</v>
      </c>
      <c r="J1703" s="3" t="str">
        <f>"1.400,00"</f>
        <v>1.400,00</v>
      </c>
      <c r="K1703" s="2" t="s">
        <v>390</v>
      </c>
      <c r="L1703" s="2" t="s">
        <v>1407</v>
      </c>
      <c r="M1703" s="2" t="s">
        <v>508</v>
      </c>
      <c r="N1703" s="2" t="s">
        <v>23</v>
      </c>
      <c r="O1703" s="3" t="str">
        <f>"0,00"</f>
        <v>0,00</v>
      </c>
      <c r="P1703" s="4"/>
    </row>
    <row r="1704" spans="2:16" ht="63" x14ac:dyDescent="0.25">
      <c r="B1704" s="2">
        <v>1471</v>
      </c>
      <c r="C1704" s="2" t="str">
        <f>"17-15/NOS-67/14"</f>
        <v>17-15/NOS-67/14</v>
      </c>
      <c r="D1704" s="2" t="s">
        <v>16</v>
      </c>
      <c r="E1704" s="2" t="s">
        <v>1250</v>
      </c>
      <c r="F1704" s="2" t="s">
        <v>1314</v>
      </c>
      <c r="G1704" s="2" t="str">
        <f>"17-15/NOS-67/14"</f>
        <v>17-15/NOS-67/14</v>
      </c>
      <c r="H1704" s="2" t="str">
        <f t="shared" si="42"/>
        <v>Ugovor - narudžbenica (periodični predmet)</v>
      </c>
      <c r="I1704" s="2" t="s">
        <v>19</v>
      </c>
      <c r="J1704" s="3" t="str">
        <f>"3.301,48"</f>
        <v>3.301,48</v>
      </c>
      <c r="K1704" s="2" t="s">
        <v>390</v>
      </c>
      <c r="L1704" s="2" t="s">
        <v>1407</v>
      </c>
      <c r="M1704" s="2" t="s">
        <v>44</v>
      </c>
      <c r="N1704" s="2" t="s">
        <v>23</v>
      </c>
      <c r="O1704" s="3" t="str">
        <f>"0,00"</f>
        <v>0,00</v>
      </c>
      <c r="P1704" s="4"/>
    </row>
    <row r="1705" spans="2:16" ht="63" x14ac:dyDescent="0.25">
      <c r="B1705" s="2">
        <v>1472</v>
      </c>
      <c r="C1705" s="2" t="str">
        <f>"15-15/NOS-75-A/15"</f>
        <v>15-15/NOS-75-A/15</v>
      </c>
      <c r="D1705" s="2" t="s">
        <v>16</v>
      </c>
      <c r="E1705" s="2" t="s">
        <v>1250</v>
      </c>
      <c r="F1705" s="2" t="s">
        <v>1337</v>
      </c>
      <c r="G1705" s="2" t="str">
        <f>"15-15/NOS-75-A/15"</f>
        <v>15-15/NOS-75-A/15</v>
      </c>
      <c r="H1705" s="2" t="str">
        <f t="shared" si="42"/>
        <v>Ugovor - narudžbenica (periodični predmet)</v>
      </c>
      <c r="I1705" s="2" t="s">
        <v>19</v>
      </c>
      <c r="J1705" s="3" t="str">
        <f>"88.272,00"</f>
        <v>88.272,00</v>
      </c>
      <c r="K1705" s="2" t="s">
        <v>390</v>
      </c>
      <c r="L1705" s="2" t="s">
        <v>1411</v>
      </c>
      <c r="M1705" s="2" t="s">
        <v>218</v>
      </c>
      <c r="N1705" s="2" t="s">
        <v>23</v>
      </c>
      <c r="O1705" s="3" t="str">
        <f>"0,00"</f>
        <v>0,00</v>
      </c>
      <c r="P1705" s="4"/>
    </row>
    <row r="1706" spans="2:16" ht="63" x14ac:dyDescent="0.25">
      <c r="B1706" s="2">
        <v>1473</v>
      </c>
      <c r="C1706" s="2" t="str">
        <f>"29-15/NOS-83/14"</f>
        <v>29-15/NOS-83/14</v>
      </c>
      <c r="D1706" s="2" t="s">
        <v>16</v>
      </c>
      <c r="E1706" s="2" t="s">
        <v>1250</v>
      </c>
      <c r="F1706" s="2" t="s">
        <v>1273</v>
      </c>
      <c r="G1706" s="2" t="str">
        <f>"29-15/NOS-83/14"</f>
        <v>29-15/NOS-83/14</v>
      </c>
      <c r="H1706" s="2" t="str">
        <f t="shared" si="42"/>
        <v>Ugovor - narudžbenica (periodični predmet)</v>
      </c>
      <c r="I1706" s="2" t="s">
        <v>19</v>
      </c>
      <c r="J1706" s="3" t="str">
        <f>"8.490,00"</f>
        <v>8.490,00</v>
      </c>
      <c r="K1706" s="2" t="s">
        <v>390</v>
      </c>
      <c r="L1706" s="2" t="s">
        <v>1411</v>
      </c>
      <c r="M1706" s="2" t="s">
        <v>270</v>
      </c>
      <c r="N1706" s="2" t="s">
        <v>23</v>
      </c>
      <c r="O1706" s="3" t="str">
        <f>"0,00"</f>
        <v>0,00</v>
      </c>
      <c r="P1706" s="4"/>
    </row>
    <row r="1707" spans="2:16" ht="63" x14ac:dyDescent="0.25">
      <c r="B1707" s="2">
        <v>1474</v>
      </c>
      <c r="C1707" s="2" t="str">
        <f>"36-15/NOS-89/14"</f>
        <v>36-15/NOS-89/14</v>
      </c>
      <c r="D1707" s="2" t="s">
        <v>16</v>
      </c>
      <c r="E1707" s="2" t="s">
        <v>1250</v>
      </c>
      <c r="F1707" s="2" t="s">
        <v>1277</v>
      </c>
      <c r="G1707" s="2" t="str">
        <f>"36-15/NOS-89/14"</f>
        <v>36-15/NOS-89/14</v>
      </c>
      <c r="H1707" s="2" t="str">
        <f t="shared" si="42"/>
        <v>Ugovor - narudžbenica (periodični predmet)</v>
      </c>
      <c r="I1707" s="2" t="s">
        <v>19</v>
      </c>
      <c r="J1707" s="3" t="str">
        <f>"15.692,47"</f>
        <v>15.692,47</v>
      </c>
      <c r="K1707" s="2" t="s">
        <v>390</v>
      </c>
      <c r="L1707" s="2" t="s">
        <v>1407</v>
      </c>
      <c r="M1707" s="2" t="s">
        <v>868</v>
      </c>
      <c r="N1707" s="2" t="s">
        <v>23</v>
      </c>
      <c r="O1707" s="3" t="str">
        <f>"0,00"</f>
        <v>0,00</v>
      </c>
      <c r="P1707" s="4"/>
    </row>
    <row r="1708" spans="2:16" ht="63" x14ac:dyDescent="0.25">
      <c r="B1708" s="2">
        <v>1475</v>
      </c>
      <c r="C1708" s="2" t="str">
        <f>"18-15/NOS-90/14"</f>
        <v>18-15/NOS-90/14</v>
      </c>
      <c r="D1708" s="2" t="s">
        <v>16</v>
      </c>
      <c r="E1708" s="2" t="s">
        <v>1250</v>
      </c>
      <c r="F1708" s="2" t="s">
        <v>1274</v>
      </c>
      <c r="G1708" s="2" t="str">
        <f>"18-15/NOS-90/14"</f>
        <v>18-15/NOS-90/14</v>
      </c>
      <c r="H1708" s="2" t="str">
        <f t="shared" si="42"/>
        <v>Ugovor - narudžbenica (periodični predmet)</v>
      </c>
      <c r="I1708" s="2" t="s">
        <v>19</v>
      </c>
      <c r="J1708" s="3" t="str">
        <f>"22.500,00"</f>
        <v>22.500,00</v>
      </c>
      <c r="K1708" s="2" t="s">
        <v>390</v>
      </c>
      <c r="L1708" s="2" t="s">
        <v>1407</v>
      </c>
      <c r="M1708" s="2" t="s">
        <v>419</v>
      </c>
      <c r="N1708" s="2" t="str">
        <f>"13.01.2016"</f>
        <v>13.01.2016</v>
      </c>
      <c r="O1708" s="3" t="str">
        <f>"22.500,00"</f>
        <v>22.500,00</v>
      </c>
      <c r="P1708" s="4"/>
    </row>
    <row r="1709" spans="2:16" ht="63" x14ac:dyDescent="0.25">
      <c r="B1709" s="2">
        <v>1476</v>
      </c>
      <c r="C1709" s="2" t="str">
        <f>"9-15/NOS-75-C/15"</f>
        <v>9-15/NOS-75-C/15</v>
      </c>
      <c r="D1709" s="2" t="s">
        <v>16</v>
      </c>
      <c r="E1709" s="2" t="s">
        <v>1250</v>
      </c>
      <c r="F1709" s="2" t="s">
        <v>1337</v>
      </c>
      <c r="G1709" s="2" t="str">
        <f>"9-15/NOS-75-C/15"</f>
        <v>9-15/NOS-75-C/15</v>
      </c>
      <c r="H1709" s="2" t="str">
        <f t="shared" si="42"/>
        <v>Ugovor - narudžbenica (periodični predmet)</v>
      </c>
      <c r="I1709" s="2" t="s">
        <v>19</v>
      </c>
      <c r="J1709" s="3" t="str">
        <f>"236,60"</f>
        <v>236,60</v>
      </c>
      <c r="K1709" s="2" t="s">
        <v>390</v>
      </c>
      <c r="L1709" s="2" t="s">
        <v>1413</v>
      </c>
      <c r="M1709" s="2" t="s">
        <v>613</v>
      </c>
      <c r="N1709" s="2" t="s">
        <v>23</v>
      </c>
      <c r="O1709" s="3" t="str">
        <f>"0,00"</f>
        <v>0,00</v>
      </c>
      <c r="P1709" s="4"/>
    </row>
    <row r="1710" spans="2:16" ht="63" x14ac:dyDescent="0.25">
      <c r="B1710" s="2">
        <v>1477</v>
      </c>
      <c r="C1710" s="2" t="str">
        <f>"6-15/NOS-75-D/15"</f>
        <v>6-15/NOS-75-D/15</v>
      </c>
      <c r="D1710" s="2" t="s">
        <v>16</v>
      </c>
      <c r="E1710" s="2" t="s">
        <v>1250</v>
      </c>
      <c r="F1710" s="2" t="s">
        <v>1337</v>
      </c>
      <c r="G1710" s="2" t="str">
        <f>"6-15/NOS-75-D/15"</f>
        <v>6-15/NOS-75-D/15</v>
      </c>
      <c r="H1710" s="2" t="str">
        <f t="shared" si="42"/>
        <v>Ugovor - narudžbenica (periodični predmet)</v>
      </c>
      <c r="I1710" s="2" t="s">
        <v>19</v>
      </c>
      <c r="J1710" s="3" t="str">
        <f>"2.931,00"</f>
        <v>2.931,00</v>
      </c>
      <c r="K1710" s="2" t="s">
        <v>390</v>
      </c>
      <c r="L1710" s="2" t="s">
        <v>1411</v>
      </c>
      <c r="M1710" s="2" t="s">
        <v>650</v>
      </c>
      <c r="N1710" s="2" t="s">
        <v>23</v>
      </c>
      <c r="O1710" s="3" t="str">
        <f>"0,00"</f>
        <v>0,00</v>
      </c>
      <c r="P1710" s="4"/>
    </row>
    <row r="1711" spans="2:16" ht="63" x14ac:dyDescent="0.25">
      <c r="B1711" s="2">
        <v>1478</v>
      </c>
      <c r="C1711" s="2" t="str">
        <f>"4-15/NOS-75-E/15"</f>
        <v>4-15/NOS-75-E/15</v>
      </c>
      <c r="D1711" s="2" t="s">
        <v>16</v>
      </c>
      <c r="E1711" s="2" t="s">
        <v>1250</v>
      </c>
      <c r="F1711" s="2" t="s">
        <v>1337</v>
      </c>
      <c r="G1711" s="2" t="str">
        <f>"4-15/NOS-75-E/15"</f>
        <v>4-15/NOS-75-E/15</v>
      </c>
      <c r="H1711" s="2" t="str">
        <f t="shared" si="42"/>
        <v>Ugovor - narudžbenica (periodični predmet)</v>
      </c>
      <c r="I1711" s="2" t="s">
        <v>19</v>
      </c>
      <c r="J1711" s="3" t="str">
        <f>"26,00"</f>
        <v>26,00</v>
      </c>
      <c r="K1711" s="2" t="s">
        <v>390</v>
      </c>
      <c r="L1711" s="2" t="s">
        <v>1411</v>
      </c>
      <c r="M1711" s="2" t="s">
        <v>649</v>
      </c>
      <c r="N1711" s="2" t="s">
        <v>23</v>
      </c>
      <c r="O1711" s="3" t="str">
        <f>"0,00"</f>
        <v>0,00</v>
      </c>
      <c r="P1711" s="4"/>
    </row>
    <row r="1712" spans="2:16" ht="63" x14ac:dyDescent="0.25">
      <c r="B1712" s="2">
        <v>1479</v>
      </c>
      <c r="C1712" s="2" t="str">
        <f>"23-15/NOS-24/15"</f>
        <v>23-15/NOS-24/15</v>
      </c>
      <c r="D1712" s="2" t="s">
        <v>16</v>
      </c>
      <c r="E1712" s="2" t="s">
        <v>1250</v>
      </c>
      <c r="F1712" s="2" t="s">
        <v>305</v>
      </c>
      <c r="G1712" s="2" t="str">
        <f>"23-15/NOS-24/15"</f>
        <v>23-15/NOS-24/15</v>
      </c>
      <c r="H1712" s="2" t="str">
        <f t="shared" si="42"/>
        <v>Ugovor - narudžbenica (periodični predmet)</v>
      </c>
      <c r="I1712" s="2" t="s">
        <v>19</v>
      </c>
      <c r="J1712" s="3" t="str">
        <f>"62.768,00"</f>
        <v>62.768,00</v>
      </c>
      <c r="K1712" s="2" t="s">
        <v>390</v>
      </c>
      <c r="L1712" s="2" t="s">
        <v>1411</v>
      </c>
      <c r="M1712" s="2" t="s">
        <v>218</v>
      </c>
      <c r="N1712" s="2" t="s">
        <v>23</v>
      </c>
      <c r="O1712" s="3" t="str">
        <f>"0,00"</f>
        <v>0,00</v>
      </c>
      <c r="P1712" s="4"/>
    </row>
    <row r="1713" spans="2:16" ht="63" x14ac:dyDescent="0.25">
      <c r="B1713" s="2">
        <v>1480</v>
      </c>
      <c r="C1713" s="2" t="str">
        <f>"15-15/NOS-35/15"</f>
        <v>15-15/NOS-35/15</v>
      </c>
      <c r="D1713" s="2" t="s">
        <v>16</v>
      </c>
      <c r="E1713" s="2" t="s">
        <v>1250</v>
      </c>
      <c r="F1713" s="2" t="s">
        <v>243</v>
      </c>
      <c r="G1713" s="2" t="str">
        <f>"15-15/NOS-35/15"</f>
        <v>15-15/NOS-35/15</v>
      </c>
      <c r="H1713" s="2" t="str">
        <f t="shared" si="42"/>
        <v>Ugovor - narudžbenica (periodični predmet)</v>
      </c>
      <c r="I1713" s="2" t="s">
        <v>19</v>
      </c>
      <c r="J1713" s="3" t="str">
        <f>"1.851,50"</f>
        <v>1.851,50</v>
      </c>
      <c r="K1713" s="2" t="s">
        <v>390</v>
      </c>
      <c r="L1713" s="2" t="s">
        <v>1407</v>
      </c>
      <c r="M1713" s="2" t="s">
        <v>246</v>
      </c>
      <c r="N1713" s="2" t="str">
        <f>"30.12.2015"</f>
        <v>30.12.2015</v>
      </c>
      <c r="O1713" s="3" t="str">
        <f>"1.851,50"</f>
        <v>1.851,50</v>
      </c>
      <c r="P1713" s="4"/>
    </row>
    <row r="1714" spans="2:16" ht="63" x14ac:dyDescent="0.25">
      <c r="B1714" s="2">
        <v>1481</v>
      </c>
      <c r="C1714" s="2" t="str">
        <f>"12-15/NOS-75-F/15"</f>
        <v>12-15/NOS-75-F/15</v>
      </c>
      <c r="D1714" s="2" t="s">
        <v>16</v>
      </c>
      <c r="E1714" s="2" t="s">
        <v>1250</v>
      </c>
      <c r="F1714" s="2" t="s">
        <v>1337</v>
      </c>
      <c r="G1714" s="2" t="str">
        <f>"12-15/NOS-75-F/15"</f>
        <v>12-15/NOS-75-F/15</v>
      </c>
      <c r="H1714" s="2" t="str">
        <f t="shared" si="42"/>
        <v>Ugovor - narudžbenica (periodični predmet)</v>
      </c>
      <c r="I1714" s="2" t="s">
        <v>19</v>
      </c>
      <c r="J1714" s="3" t="str">
        <f>"1.806,00"</f>
        <v>1.806,00</v>
      </c>
      <c r="K1714" s="2" t="s">
        <v>390</v>
      </c>
      <c r="L1714" s="2" t="s">
        <v>1411</v>
      </c>
      <c r="M1714" s="2" t="s">
        <v>218</v>
      </c>
      <c r="N1714" s="2" t="s">
        <v>23</v>
      </c>
      <c r="O1714" s="3" t="str">
        <f>"0,00"</f>
        <v>0,00</v>
      </c>
      <c r="P1714" s="4"/>
    </row>
    <row r="1715" spans="2:16" ht="63" x14ac:dyDescent="0.25">
      <c r="B1715" s="2">
        <v>1482</v>
      </c>
      <c r="C1715" s="2" t="str">
        <f>"11-15/NOS-75-I/15"</f>
        <v>11-15/NOS-75-I/15</v>
      </c>
      <c r="D1715" s="2" t="s">
        <v>16</v>
      </c>
      <c r="E1715" s="2" t="s">
        <v>1250</v>
      </c>
      <c r="F1715" s="2" t="s">
        <v>1337</v>
      </c>
      <c r="G1715" s="2" t="str">
        <f>"11-15/NOS-75-I/15"</f>
        <v>11-15/NOS-75-I/15</v>
      </c>
      <c r="H1715" s="2" t="str">
        <f t="shared" si="42"/>
        <v>Ugovor - narudžbenica (periodični predmet)</v>
      </c>
      <c r="I1715" s="2" t="s">
        <v>19</v>
      </c>
      <c r="J1715" s="3" t="str">
        <f>"5.770,00"</f>
        <v>5.770,00</v>
      </c>
      <c r="K1715" s="2" t="s">
        <v>390</v>
      </c>
      <c r="L1715" s="2" t="s">
        <v>1411</v>
      </c>
      <c r="M1715" s="2" t="s">
        <v>612</v>
      </c>
      <c r="N1715" s="2" t="s">
        <v>23</v>
      </c>
      <c r="O1715" s="3" t="str">
        <f>"0,00"</f>
        <v>0,00</v>
      </c>
      <c r="P1715" s="4"/>
    </row>
    <row r="1716" spans="2:16" ht="63" x14ac:dyDescent="0.25">
      <c r="B1716" s="2">
        <v>1483</v>
      </c>
      <c r="C1716" s="2" t="str">
        <f>"13-15/NOS-54/15"</f>
        <v>13-15/NOS-54/15</v>
      </c>
      <c r="D1716" s="2" t="s">
        <v>16</v>
      </c>
      <c r="E1716" s="2" t="s">
        <v>1250</v>
      </c>
      <c r="F1716" s="2" t="s">
        <v>255</v>
      </c>
      <c r="G1716" s="2" t="str">
        <f>"13-15/NOS-54/15"</f>
        <v>13-15/NOS-54/15</v>
      </c>
      <c r="H1716" s="2" t="str">
        <f t="shared" si="42"/>
        <v>Ugovor - narudžbenica (periodični predmet)</v>
      </c>
      <c r="I1716" s="2" t="s">
        <v>19</v>
      </c>
      <c r="J1716" s="3" t="str">
        <f>"310,00"</f>
        <v>310,00</v>
      </c>
      <c r="K1716" s="2" t="s">
        <v>390</v>
      </c>
      <c r="L1716" s="2" t="s">
        <v>1407</v>
      </c>
      <c r="M1716" s="2" t="s">
        <v>259</v>
      </c>
      <c r="N1716" s="2" t="str">
        <f>"12.01.2016"</f>
        <v>12.01.2016</v>
      </c>
      <c r="O1716" s="3" t="str">
        <f>"310,00"</f>
        <v>310,00</v>
      </c>
      <c r="P1716" s="4"/>
    </row>
    <row r="1717" spans="2:16" ht="63" x14ac:dyDescent="0.25">
      <c r="B1717" s="2">
        <v>1484</v>
      </c>
      <c r="C1717" s="2" t="str">
        <f>"11-15/NOS-100-A/15"</f>
        <v>11-15/NOS-100-A/15</v>
      </c>
      <c r="D1717" s="2" t="s">
        <v>16</v>
      </c>
      <c r="E1717" s="2" t="s">
        <v>1250</v>
      </c>
      <c r="F1717" s="2" t="s">
        <v>1255</v>
      </c>
      <c r="G1717" s="2" t="str">
        <f>"11-15/NOS-100-A/15"</f>
        <v>11-15/NOS-100-A/15</v>
      </c>
      <c r="H1717" s="2" t="str">
        <f t="shared" si="42"/>
        <v>Ugovor - narudžbenica (periodični predmet)</v>
      </c>
      <c r="I1717" s="2" t="s">
        <v>19</v>
      </c>
      <c r="J1717" s="3" t="str">
        <f>"2.580,00"</f>
        <v>2.580,00</v>
      </c>
      <c r="K1717" s="2" t="s">
        <v>390</v>
      </c>
      <c r="L1717" s="2" t="s">
        <v>1411</v>
      </c>
      <c r="M1717" s="2" t="s">
        <v>269</v>
      </c>
      <c r="N1717" s="2" t="str">
        <f>"08.01.2016"</f>
        <v>08.01.2016</v>
      </c>
      <c r="O1717" s="3" t="str">
        <f>"2.580,00"</f>
        <v>2.580,00</v>
      </c>
      <c r="P1717" s="4"/>
    </row>
    <row r="1718" spans="2:16" ht="63" x14ac:dyDescent="0.25">
      <c r="B1718" s="2">
        <v>1485</v>
      </c>
      <c r="C1718" s="2" t="str">
        <f>"8-15/NOS-63-A/15"</f>
        <v>8-15/NOS-63-A/15</v>
      </c>
      <c r="D1718" s="2" t="s">
        <v>16</v>
      </c>
      <c r="E1718" s="2" t="s">
        <v>1250</v>
      </c>
      <c r="F1718" s="2" t="s">
        <v>1338</v>
      </c>
      <c r="G1718" s="2" t="str">
        <f>"8-15/NOS-63-A/15"</f>
        <v>8-15/NOS-63-A/15</v>
      </c>
      <c r="H1718" s="2" t="str">
        <f t="shared" si="42"/>
        <v>Ugovor - narudžbenica (periodični predmet)</v>
      </c>
      <c r="I1718" s="2" t="s">
        <v>19</v>
      </c>
      <c r="J1718" s="3" t="str">
        <f>"720,00"</f>
        <v>720,00</v>
      </c>
      <c r="K1718" s="2" t="s">
        <v>390</v>
      </c>
      <c r="L1718" s="2" t="s">
        <v>1411</v>
      </c>
      <c r="M1718" s="2" t="s">
        <v>164</v>
      </c>
      <c r="N1718" s="2" t="s">
        <v>23</v>
      </c>
      <c r="O1718" s="3" t="str">
        <f>"0,00"</f>
        <v>0,00</v>
      </c>
      <c r="P1718" s="4"/>
    </row>
    <row r="1719" spans="2:16" ht="63" x14ac:dyDescent="0.25">
      <c r="B1719" s="2">
        <v>1486</v>
      </c>
      <c r="C1719" s="2" t="str">
        <f>"18-15/NOS-210-A/13"</f>
        <v>18-15/NOS-210-A/13</v>
      </c>
      <c r="D1719" s="2" t="s">
        <v>85</v>
      </c>
      <c r="E1719" s="2" t="s">
        <v>1250</v>
      </c>
      <c r="F1719" s="2" t="s">
        <v>1294</v>
      </c>
      <c r="G1719" s="2" t="str">
        <f>"18-15/NOS-210-A/13"</f>
        <v>18-15/NOS-210-A/13</v>
      </c>
      <c r="H1719" s="2" t="str">
        <f t="shared" si="42"/>
        <v>Ugovor - narudžbenica (periodični predmet)</v>
      </c>
      <c r="I1719" s="2" t="s">
        <v>19</v>
      </c>
      <c r="J1719" s="3" t="str">
        <f>"14.290,00"</f>
        <v>14.290,00</v>
      </c>
      <c r="K1719" s="2" t="s">
        <v>390</v>
      </c>
      <c r="L1719" s="2" t="s">
        <v>1411</v>
      </c>
      <c r="M1719" s="2" t="s">
        <v>89</v>
      </c>
      <c r="N1719" s="2" t="s">
        <v>23</v>
      </c>
      <c r="O1719" s="3" t="str">
        <f>"0,00"</f>
        <v>0,00</v>
      </c>
      <c r="P1719" s="4"/>
    </row>
    <row r="1720" spans="2:16" ht="63" x14ac:dyDescent="0.25">
      <c r="B1720" s="2">
        <v>1487</v>
      </c>
      <c r="C1720" s="2" t="str">
        <f>"14-15/NOS-60/15"</f>
        <v>14-15/NOS-60/15</v>
      </c>
      <c r="D1720" s="2" t="s">
        <v>16</v>
      </c>
      <c r="E1720" s="2" t="s">
        <v>1250</v>
      </c>
      <c r="F1720" s="2" t="s">
        <v>157</v>
      </c>
      <c r="G1720" s="2" t="str">
        <f>"14-15/NOS-60/15"</f>
        <v>14-15/NOS-60/15</v>
      </c>
      <c r="H1720" s="2" t="str">
        <f t="shared" si="42"/>
        <v>Ugovor - narudžbenica (periodični predmet)</v>
      </c>
      <c r="I1720" s="2" t="s">
        <v>19</v>
      </c>
      <c r="J1720" s="3" t="str">
        <f>"269,00"</f>
        <v>269,00</v>
      </c>
      <c r="K1720" s="2" t="s">
        <v>390</v>
      </c>
      <c r="L1720" s="2" t="s">
        <v>1407</v>
      </c>
      <c r="M1720" s="2" t="s">
        <v>44</v>
      </c>
      <c r="N1720" s="2" t="s">
        <v>23</v>
      </c>
      <c r="O1720" s="3" t="str">
        <f>"0,00"</f>
        <v>0,00</v>
      </c>
      <c r="P1720" s="4"/>
    </row>
    <row r="1721" spans="2:16" ht="63" x14ac:dyDescent="0.25">
      <c r="B1721" s="2">
        <v>1488</v>
      </c>
      <c r="C1721" s="2" t="str">
        <f>"7-15/NOS-94/14"</f>
        <v>7-15/NOS-94/14</v>
      </c>
      <c r="D1721" s="2" t="s">
        <v>16</v>
      </c>
      <c r="E1721" s="2" t="s">
        <v>1250</v>
      </c>
      <c r="F1721" s="2" t="s">
        <v>1348</v>
      </c>
      <c r="G1721" s="2" t="str">
        <f>"7-15/NOS-94/14"</f>
        <v>7-15/NOS-94/14</v>
      </c>
      <c r="H1721" s="2" t="str">
        <f t="shared" si="42"/>
        <v>Ugovor - narudžbenica (periodični predmet)</v>
      </c>
      <c r="I1721" s="2" t="s">
        <v>19</v>
      </c>
      <c r="J1721" s="3" t="str">
        <f>"2.041,20"</f>
        <v>2.041,20</v>
      </c>
      <c r="K1721" s="2" t="s">
        <v>390</v>
      </c>
      <c r="L1721" s="2" t="s">
        <v>1411</v>
      </c>
      <c r="M1721" s="2" t="s">
        <v>146</v>
      </c>
      <c r="N1721" s="2" t="s">
        <v>23</v>
      </c>
      <c r="O1721" s="3" t="str">
        <f>"0,00"</f>
        <v>0,00</v>
      </c>
      <c r="P1721" s="4"/>
    </row>
    <row r="1722" spans="2:16" ht="63" x14ac:dyDescent="0.25">
      <c r="B1722" s="2">
        <v>1489</v>
      </c>
      <c r="C1722" s="2" t="str">
        <f>"19-15/NOS-108/14"</f>
        <v>19-15/NOS-108/14</v>
      </c>
      <c r="D1722" s="2" t="s">
        <v>16</v>
      </c>
      <c r="E1722" s="2" t="s">
        <v>1250</v>
      </c>
      <c r="F1722" s="2" t="s">
        <v>41</v>
      </c>
      <c r="G1722" s="2" t="str">
        <f>"19-15/NOS-108/14"</f>
        <v>19-15/NOS-108/14</v>
      </c>
      <c r="H1722" s="2" t="str">
        <f t="shared" si="42"/>
        <v>Ugovor - narudžbenica (periodični predmet)</v>
      </c>
      <c r="I1722" s="2" t="s">
        <v>19</v>
      </c>
      <c r="J1722" s="3" t="str">
        <f>"2.224,40"</f>
        <v>2.224,40</v>
      </c>
      <c r="K1722" s="2" t="s">
        <v>390</v>
      </c>
      <c r="L1722" s="2" t="s">
        <v>1411</v>
      </c>
      <c r="M1722" s="2" t="s">
        <v>46</v>
      </c>
      <c r="N1722" s="2" t="str">
        <f>"13.01.2016"</f>
        <v>13.01.2016</v>
      </c>
      <c r="O1722" s="3" t="str">
        <f>"2.224,40"</f>
        <v>2.224,40</v>
      </c>
      <c r="P1722" s="4"/>
    </row>
    <row r="1723" spans="2:16" ht="63" x14ac:dyDescent="0.25">
      <c r="B1723" s="2">
        <v>1490</v>
      </c>
      <c r="C1723" s="2" t="str">
        <f>"15-15/NOS-118/14"</f>
        <v>15-15/NOS-118/14</v>
      </c>
      <c r="D1723" s="2" t="s">
        <v>85</v>
      </c>
      <c r="E1723" s="2" t="s">
        <v>1250</v>
      </c>
      <c r="F1723" s="2" t="s">
        <v>86</v>
      </c>
      <c r="G1723" s="2" t="str">
        <f>"15-15/NOS-118/14"</f>
        <v>15-15/NOS-118/14</v>
      </c>
      <c r="H1723" s="2" t="str">
        <f t="shared" si="42"/>
        <v>Ugovor - narudžbenica (periodični predmet)</v>
      </c>
      <c r="I1723" s="2" t="s">
        <v>19</v>
      </c>
      <c r="J1723" s="3" t="str">
        <f>"13.700,00"</f>
        <v>13.700,00</v>
      </c>
      <c r="K1723" s="2" t="s">
        <v>390</v>
      </c>
      <c r="L1723" s="2" t="s">
        <v>1414</v>
      </c>
      <c r="M1723" s="2" t="s">
        <v>84</v>
      </c>
      <c r="N1723" s="2" t="s">
        <v>23</v>
      </c>
      <c r="O1723" s="3" t="str">
        <f t="shared" ref="O1723:O1728" si="43">"0,00"</f>
        <v>0,00</v>
      </c>
      <c r="P1723" s="4"/>
    </row>
    <row r="1724" spans="2:16" ht="63" x14ac:dyDescent="0.25">
      <c r="B1724" s="2">
        <v>1491</v>
      </c>
      <c r="C1724" s="2" t="str">
        <f>"15-15/NOS-70-A/15"</f>
        <v>15-15/NOS-70-A/15</v>
      </c>
      <c r="D1724" s="2" t="s">
        <v>16</v>
      </c>
      <c r="E1724" s="2" t="s">
        <v>1250</v>
      </c>
      <c r="F1724" s="2" t="s">
        <v>1342</v>
      </c>
      <c r="G1724" s="2" t="str">
        <f>"15-15/NOS-70-A/15"</f>
        <v>15-15/NOS-70-A/15</v>
      </c>
      <c r="H1724" s="2" t="str">
        <f t="shared" si="42"/>
        <v>Ugovor - narudžbenica (periodični predmet)</v>
      </c>
      <c r="I1724" s="2" t="s">
        <v>19</v>
      </c>
      <c r="J1724" s="3" t="str">
        <f>"6.240,00"</f>
        <v>6.240,00</v>
      </c>
      <c r="K1724" s="2" t="s">
        <v>390</v>
      </c>
      <c r="L1724" s="2" t="s">
        <v>1411</v>
      </c>
      <c r="M1724" s="2" t="s">
        <v>508</v>
      </c>
      <c r="N1724" s="2" t="s">
        <v>23</v>
      </c>
      <c r="O1724" s="3" t="str">
        <f t="shared" si="43"/>
        <v>0,00</v>
      </c>
      <c r="P1724" s="4"/>
    </row>
    <row r="1725" spans="2:16" ht="63" x14ac:dyDescent="0.25">
      <c r="B1725" s="2">
        <v>1492</v>
      </c>
      <c r="C1725" s="2" t="str">
        <f>"11-15/NOS-93/15"</f>
        <v>11-15/NOS-93/15</v>
      </c>
      <c r="D1725" s="2" t="s">
        <v>16</v>
      </c>
      <c r="E1725" s="2" t="s">
        <v>1250</v>
      </c>
      <c r="F1725" s="2" t="s">
        <v>543</v>
      </c>
      <c r="G1725" s="2" t="str">
        <f>"11-15/NOS-93/15"</f>
        <v>11-15/NOS-93/15</v>
      </c>
      <c r="H1725" s="2" t="str">
        <f t="shared" si="42"/>
        <v>Ugovor - narudžbenica (periodični predmet)</v>
      </c>
      <c r="I1725" s="2" t="s">
        <v>19</v>
      </c>
      <c r="J1725" s="3" t="str">
        <f>"8.207,00"</f>
        <v>8.207,00</v>
      </c>
      <c r="K1725" s="2" t="s">
        <v>390</v>
      </c>
      <c r="L1725" s="2" t="s">
        <v>1407</v>
      </c>
      <c r="M1725" s="2" t="s">
        <v>544</v>
      </c>
      <c r="N1725" s="2" t="s">
        <v>23</v>
      </c>
      <c r="O1725" s="3" t="str">
        <f t="shared" si="43"/>
        <v>0,00</v>
      </c>
      <c r="P1725" s="4"/>
    </row>
    <row r="1726" spans="2:16" ht="63" x14ac:dyDescent="0.25">
      <c r="B1726" s="2">
        <v>1493</v>
      </c>
      <c r="C1726" s="2" t="str">
        <f>"5-15/NOS-33/15"</f>
        <v>5-15/NOS-33/15</v>
      </c>
      <c r="D1726" s="2" t="s">
        <v>16</v>
      </c>
      <c r="E1726" s="2" t="s">
        <v>1250</v>
      </c>
      <c r="F1726" s="2" t="s">
        <v>554</v>
      </c>
      <c r="G1726" s="2" t="str">
        <f>"5-15/NOS-33/15"</f>
        <v>5-15/NOS-33/15</v>
      </c>
      <c r="H1726" s="2" t="str">
        <f t="shared" si="42"/>
        <v>Ugovor - narudžbenica (periodični predmet)</v>
      </c>
      <c r="I1726" s="2" t="s">
        <v>19</v>
      </c>
      <c r="J1726" s="3" t="str">
        <f>"28.680,00"</f>
        <v>28.680,00</v>
      </c>
      <c r="K1726" s="2" t="s">
        <v>390</v>
      </c>
      <c r="L1726" s="2" t="s">
        <v>1408</v>
      </c>
      <c r="M1726" s="2" t="s">
        <v>555</v>
      </c>
      <c r="N1726" s="2" t="s">
        <v>23</v>
      </c>
      <c r="O1726" s="3" t="str">
        <f t="shared" si="43"/>
        <v>0,00</v>
      </c>
      <c r="P1726" s="4"/>
    </row>
    <row r="1727" spans="2:16" ht="78.75" x14ac:dyDescent="0.25">
      <c r="B1727" s="2">
        <v>1494</v>
      </c>
      <c r="C1727" s="2" t="str">
        <f>"14-15/NOS-218/13"</f>
        <v>14-15/NOS-218/13</v>
      </c>
      <c r="D1727" s="2" t="s">
        <v>16</v>
      </c>
      <c r="E1727" s="2" t="s">
        <v>1250</v>
      </c>
      <c r="F1727" s="2" t="s">
        <v>1270</v>
      </c>
      <c r="G1727" s="2" t="str">
        <f>"14-15/NOS-218/13"</f>
        <v>14-15/NOS-218/13</v>
      </c>
      <c r="H1727" s="2" t="str">
        <f t="shared" si="42"/>
        <v>Ugovor - narudžbenica (periodični predmet)</v>
      </c>
      <c r="I1727" s="2" t="s">
        <v>19</v>
      </c>
      <c r="J1727" s="3" t="str">
        <f>"660,00"</f>
        <v>660,00</v>
      </c>
      <c r="K1727" s="2" t="s">
        <v>390</v>
      </c>
      <c r="L1727" s="2" t="s">
        <v>1408</v>
      </c>
      <c r="M1727" s="2" t="s">
        <v>920</v>
      </c>
      <c r="N1727" s="2" t="s">
        <v>23</v>
      </c>
      <c r="O1727" s="3" t="str">
        <f t="shared" si="43"/>
        <v>0,00</v>
      </c>
      <c r="P1727" s="4"/>
    </row>
    <row r="1728" spans="2:16" ht="63" x14ac:dyDescent="0.25">
      <c r="B1728" s="2">
        <v>1495</v>
      </c>
      <c r="C1728" s="2" t="str">
        <f>"13-15/NOS-39/15"</f>
        <v>13-15/NOS-39/15</v>
      </c>
      <c r="D1728" s="2" t="s">
        <v>28</v>
      </c>
      <c r="E1728" s="2" t="s">
        <v>1250</v>
      </c>
      <c r="F1728" s="2" t="s">
        <v>300</v>
      </c>
      <c r="G1728" s="2" t="str">
        <f>"13-15/NOS-39/15"</f>
        <v>13-15/NOS-39/15</v>
      </c>
      <c r="H1728" s="2" t="str">
        <f t="shared" si="42"/>
        <v>Ugovor - narudžbenica (periodični predmet)</v>
      </c>
      <c r="I1728" s="2" t="s">
        <v>19</v>
      </c>
      <c r="J1728" s="3" t="str">
        <f>"46.175,93"</f>
        <v>46.175,93</v>
      </c>
      <c r="K1728" s="2" t="s">
        <v>390</v>
      </c>
      <c r="L1728" s="2" t="s">
        <v>1407</v>
      </c>
      <c r="M1728" s="2" t="s">
        <v>303</v>
      </c>
      <c r="N1728" s="2" t="s">
        <v>23</v>
      </c>
      <c r="O1728" s="3" t="str">
        <f t="shared" si="43"/>
        <v>0,00</v>
      </c>
      <c r="P1728" s="4"/>
    </row>
    <row r="1729" spans="2:19" ht="63" x14ac:dyDescent="0.25">
      <c r="B1729" s="2">
        <v>1496</v>
      </c>
      <c r="C1729" s="2" t="str">
        <f>"32-15/NOS-184/13"</f>
        <v>32-15/NOS-184/13</v>
      </c>
      <c r="D1729" s="2" t="s">
        <v>16</v>
      </c>
      <c r="E1729" s="2" t="s">
        <v>1250</v>
      </c>
      <c r="F1729" s="2" t="s">
        <v>1397</v>
      </c>
      <c r="G1729" s="2" t="str">
        <f>"32-15/NOS-184/13"</f>
        <v>32-15/NOS-184/13</v>
      </c>
      <c r="H1729" s="2" t="str">
        <f t="shared" ref="H1729:H1745" si="44">"Ugovor - narudžbenica (periodični predmet)"</f>
        <v>Ugovor - narudžbenica (periodični predmet)</v>
      </c>
      <c r="I1729" s="2" t="s">
        <v>19</v>
      </c>
      <c r="J1729" s="3" t="str">
        <f>"136,00"</f>
        <v>136,00</v>
      </c>
      <c r="K1729" s="2" t="s">
        <v>1242</v>
      </c>
      <c r="L1729" s="2" t="s">
        <v>1411</v>
      </c>
      <c r="M1729" s="2" t="s">
        <v>1293</v>
      </c>
      <c r="N1729" s="2" t="str">
        <f>"31.12.2015"</f>
        <v>31.12.2015</v>
      </c>
      <c r="O1729" s="3" t="str">
        <f>"136,00"</f>
        <v>136,00</v>
      </c>
      <c r="P1729" s="4"/>
    </row>
    <row r="1730" spans="2:19" ht="63" x14ac:dyDescent="0.25">
      <c r="B1730" s="2">
        <v>1497</v>
      </c>
      <c r="C1730" s="2" t="str">
        <f>"16-15/NOS-183/13"</f>
        <v>16-15/NOS-183/13</v>
      </c>
      <c r="D1730" s="2" t="s">
        <v>85</v>
      </c>
      <c r="E1730" s="2" t="s">
        <v>1250</v>
      </c>
      <c r="F1730" s="2" t="s">
        <v>1292</v>
      </c>
      <c r="G1730" s="2" t="str">
        <f>"16-15/NOS-183/13"</f>
        <v>16-15/NOS-183/13</v>
      </c>
      <c r="H1730" s="2" t="str">
        <f t="shared" si="44"/>
        <v>Ugovor - narudžbenica (periodični predmet)</v>
      </c>
      <c r="I1730" s="2" t="s">
        <v>19</v>
      </c>
      <c r="J1730" s="3" t="str">
        <f>"91,54"</f>
        <v>91,54</v>
      </c>
      <c r="K1730" s="2" t="s">
        <v>1242</v>
      </c>
      <c r="L1730" s="2" t="s">
        <v>1411</v>
      </c>
      <c r="M1730" s="2" t="s">
        <v>1293</v>
      </c>
      <c r="N1730" s="2" t="s">
        <v>23</v>
      </c>
      <c r="O1730" s="3" t="str">
        <f>"0,00"</f>
        <v>0,00</v>
      </c>
      <c r="P1730" s="4"/>
    </row>
    <row r="1731" spans="2:19" ht="63" x14ac:dyDescent="0.25">
      <c r="B1731" s="2">
        <v>1498</v>
      </c>
      <c r="C1731" s="2" t="str">
        <f>"20-15/NOS-112/14"</f>
        <v>20-15/NOS-112/14</v>
      </c>
      <c r="D1731" s="2" t="s">
        <v>362</v>
      </c>
      <c r="E1731" s="2" t="s">
        <v>1250</v>
      </c>
      <c r="F1731" s="2" t="s">
        <v>77</v>
      </c>
      <c r="G1731" s="2" t="str">
        <f>"20-15/NOS-112/14"</f>
        <v>20-15/NOS-112/14</v>
      </c>
      <c r="H1731" s="2" t="str">
        <f t="shared" si="44"/>
        <v>Ugovor - narudžbenica (periodični predmet)</v>
      </c>
      <c r="I1731" s="2" t="s">
        <v>19</v>
      </c>
      <c r="J1731" s="3" t="str">
        <f>"7.000,00"</f>
        <v>7.000,00</v>
      </c>
      <c r="K1731" s="2" t="s">
        <v>1242</v>
      </c>
      <c r="L1731" s="2" t="s">
        <v>1411</v>
      </c>
      <c r="M1731" s="2" t="s">
        <v>80</v>
      </c>
      <c r="N1731" s="2" t="s">
        <v>23</v>
      </c>
      <c r="O1731" s="3" t="str">
        <f>"0,00"</f>
        <v>0,00</v>
      </c>
      <c r="P1731" s="4"/>
    </row>
    <row r="1732" spans="2:19" ht="63" x14ac:dyDescent="0.25">
      <c r="B1732" s="2">
        <v>1499</v>
      </c>
      <c r="C1732" s="2" t="str">
        <f>"11-15/NOS-119/15"</f>
        <v>11-15/NOS-119/15</v>
      </c>
      <c r="D1732" s="2" t="s">
        <v>28</v>
      </c>
      <c r="E1732" s="2" t="s">
        <v>1250</v>
      </c>
      <c r="F1732" s="2" t="s">
        <v>455</v>
      </c>
      <c r="G1732" s="2" t="str">
        <f>"11-15/NOS-119/15"</f>
        <v>11-15/NOS-119/15</v>
      </c>
      <c r="H1732" s="2" t="str">
        <f t="shared" si="44"/>
        <v>Ugovor - narudžbenica (periodični predmet)</v>
      </c>
      <c r="I1732" s="2" t="s">
        <v>19</v>
      </c>
      <c r="J1732" s="3" t="str">
        <f>"7.381,60"</f>
        <v>7.381,60</v>
      </c>
      <c r="K1732" s="2" t="s">
        <v>1242</v>
      </c>
      <c r="L1732" s="2" t="s">
        <v>1190</v>
      </c>
      <c r="M1732" s="2" t="s">
        <v>458</v>
      </c>
      <c r="N1732" s="2" t="s">
        <v>23</v>
      </c>
      <c r="O1732" s="3" t="str">
        <f>"0,00"</f>
        <v>0,00</v>
      </c>
      <c r="P1732" s="4"/>
    </row>
    <row r="1733" spans="2:19" ht="63" x14ac:dyDescent="0.25">
      <c r="B1733" s="2">
        <v>1500</v>
      </c>
      <c r="C1733" s="2" t="str">
        <f>"4-15/NOS-130/15"</f>
        <v>4-15/NOS-130/15</v>
      </c>
      <c r="D1733" s="2" t="s">
        <v>28</v>
      </c>
      <c r="E1733" s="2" t="s">
        <v>1250</v>
      </c>
      <c r="F1733" s="2" t="s">
        <v>536</v>
      </c>
      <c r="G1733" s="2" t="str">
        <f>"4-15/NOS-130/15"</f>
        <v>4-15/NOS-130/15</v>
      </c>
      <c r="H1733" s="2" t="str">
        <f t="shared" si="44"/>
        <v>Ugovor - narudžbenica (periodični predmet)</v>
      </c>
      <c r="I1733" s="2" t="s">
        <v>19</v>
      </c>
      <c r="J1733" s="3" t="str">
        <f>"125.435,10"</f>
        <v>125.435,10</v>
      </c>
      <c r="K1733" s="2" t="s">
        <v>1242</v>
      </c>
      <c r="L1733" s="2" t="s">
        <v>1411</v>
      </c>
      <c r="M1733" s="2" t="s">
        <v>44</v>
      </c>
      <c r="N1733" s="2" t="str">
        <f>"13.01.2016"</f>
        <v>13.01.2016</v>
      </c>
      <c r="O1733" s="3" t="str">
        <f>"7.074,00"</f>
        <v>7.074,00</v>
      </c>
      <c r="P1733" s="4"/>
    </row>
    <row r="1734" spans="2:19" ht="63" x14ac:dyDescent="0.25">
      <c r="B1734" s="2">
        <v>1501</v>
      </c>
      <c r="C1734" s="2" t="str">
        <f>"19-15/NOS-122/14"</f>
        <v>19-15/NOS-122/14</v>
      </c>
      <c r="D1734" s="2" t="s">
        <v>16</v>
      </c>
      <c r="E1734" s="2" t="s">
        <v>1250</v>
      </c>
      <c r="F1734" s="2" t="s">
        <v>58</v>
      </c>
      <c r="G1734" s="2" t="str">
        <f>"19-15/NOS-122/14"</f>
        <v>19-15/NOS-122/14</v>
      </c>
      <c r="H1734" s="2" t="str">
        <f t="shared" si="44"/>
        <v>Ugovor - narudžbenica (periodični predmet)</v>
      </c>
      <c r="I1734" s="2" t="s">
        <v>19</v>
      </c>
      <c r="J1734" s="3" t="str">
        <f>"7.690,18"</f>
        <v>7.690,18</v>
      </c>
      <c r="K1734" s="2" t="s">
        <v>1242</v>
      </c>
      <c r="L1734" s="2" t="s">
        <v>1411</v>
      </c>
      <c r="M1734" s="2" t="s">
        <v>62</v>
      </c>
      <c r="N1734" s="2" t="s">
        <v>23</v>
      </c>
      <c r="O1734" s="3" t="str">
        <f>"0,00"</f>
        <v>0,00</v>
      </c>
      <c r="P1734" s="4"/>
    </row>
    <row r="1735" spans="2:19" ht="63" x14ac:dyDescent="0.25">
      <c r="B1735" s="2">
        <v>1502</v>
      </c>
      <c r="C1735" s="2" t="str">
        <f>"18-15/NOS-203/13"</f>
        <v>18-15/NOS-203/13</v>
      </c>
      <c r="D1735" s="2" t="s">
        <v>16</v>
      </c>
      <c r="E1735" s="2" t="s">
        <v>1250</v>
      </c>
      <c r="F1735" s="2" t="s">
        <v>1303</v>
      </c>
      <c r="G1735" s="2" t="str">
        <f>"18-15/NOS-203/13"</f>
        <v>18-15/NOS-203/13</v>
      </c>
      <c r="H1735" s="2" t="str">
        <f t="shared" si="44"/>
        <v>Ugovor - narudžbenica (periodični predmet)</v>
      </c>
      <c r="I1735" s="2" t="s">
        <v>19</v>
      </c>
      <c r="J1735" s="3" t="str">
        <f>"148.112,23"</f>
        <v>148.112,23</v>
      </c>
      <c r="K1735" s="2" t="s">
        <v>1242</v>
      </c>
      <c r="L1735" s="2" t="s">
        <v>1411</v>
      </c>
      <c r="M1735" s="2" t="s">
        <v>1305</v>
      </c>
      <c r="N1735" s="2" t="str">
        <f>"12.01.2016"</f>
        <v>12.01.2016</v>
      </c>
      <c r="O1735" s="3" t="str">
        <f>"148.112,23"</f>
        <v>148.112,23</v>
      </c>
      <c r="P1735" s="4"/>
    </row>
    <row r="1736" spans="2:19" ht="63" x14ac:dyDescent="0.25">
      <c r="B1736" s="2">
        <v>1503</v>
      </c>
      <c r="C1736" s="2" t="str">
        <f>"24-15/NOS-205/13"</f>
        <v>24-15/NOS-205/13</v>
      </c>
      <c r="D1736" s="2" t="s">
        <v>16</v>
      </c>
      <c r="E1736" s="2" t="s">
        <v>1250</v>
      </c>
      <c r="F1736" s="2" t="s">
        <v>1290</v>
      </c>
      <c r="G1736" s="2" t="str">
        <f>"24-15/NOS-205/13"</f>
        <v>24-15/NOS-205/13</v>
      </c>
      <c r="H1736" s="2" t="str">
        <f t="shared" si="44"/>
        <v>Ugovor - narudžbenica (periodični predmet)</v>
      </c>
      <c r="I1736" s="2" t="s">
        <v>19</v>
      </c>
      <c r="J1736" s="3" t="str">
        <f>"2.285,00"</f>
        <v>2.285,00</v>
      </c>
      <c r="K1736" s="2" t="s">
        <v>1242</v>
      </c>
      <c r="L1736" s="2" t="s">
        <v>1411</v>
      </c>
      <c r="M1736" s="2" t="s">
        <v>84</v>
      </c>
      <c r="N1736" s="2" t="str">
        <f>"13.01.2016"</f>
        <v>13.01.2016</v>
      </c>
      <c r="O1736" s="3" t="str">
        <f>"1.133,00"</f>
        <v>1.133,00</v>
      </c>
      <c r="P1736" s="4"/>
    </row>
    <row r="1737" spans="2:19" ht="63" x14ac:dyDescent="0.25">
      <c r="B1737" s="2">
        <v>1504</v>
      </c>
      <c r="C1737" s="2" t="str">
        <f>"2-15/NOS-124/14"</f>
        <v>2-15/NOS-124/14</v>
      </c>
      <c r="D1737" s="2" t="s">
        <v>16</v>
      </c>
      <c r="E1737" s="2" t="s">
        <v>1250</v>
      </c>
      <c r="F1737" s="2" t="s">
        <v>108</v>
      </c>
      <c r="G1737" s="2" t="str">
        <f>"2-15/NOS-124/14"</f>
        <v>2-15/NOS-124/14</v>
      </c>
      <c r="H1737" s="2" t="str">
        <f t="shared" si="44"/>
        <v>Ugovor - narudžbenica (periodični predmet)</v>
      </c>
      <c r="I1737" s="2" t="s">
        <v>19</v>
      </c>
      <c r="J1737" s="3" t="str">
        <f>"23.762,36"</f>
        <v>23.762,36</v>
      </c>
      <c r="K1737" s="2" t="s">
        <v>1242</v>
      </c>
      <c r="L1737" s="2" t="s">
        <v>1411</v>
      </c>
      <c r="M1737" s="2" t="s">
        <v>111</v>
      </c>
      <c r="N1737" s="2" t="s">
        <v>23</v>
      </c>
      <c r="O1737" s="3" t="str">
        <f t="shared" ref="O1737:O1743" si="45">"0,00"</f>
        <v>0,00</v>
      </c>
      <c r="P1737" s="4"/>
    </row>
    <row r="1738" spans="2:19" ht="63" x14ac:dyDescent="0.25">
      <c r="B1738" s="2">
        <v>1505</v>
      </c>
      <c r="C1738" s="2" t="str">
        <f>"47-15/NOS-29/12"</f>
        <v>47-15/NOS-29/12</v>
      </c>
      <c r="D1738" s="2" t="s">
        <v>85</v>
      </c>
      <c r="E1738" s="2" t="s">
        <v>1250</v>
      </c>
      <c r="F1738" s="2" t="s">
        <v>1269</v>
      </c>
      <c r="G1738" s="2" t="str">
        <f>"47-15/NOS-29/12"</f>
        <v>47-15/NOS-29/12</v>
      </c>
      <c r="H1738" s="2" t="str">
        <f t="shared" si="44"/>
        <v>Ugovor - narudžbenica (periodični predmet)</v>
      </c>
      <c r="I1738" s="2" t="s">
        <v>19</v>
      </c>
      <c r="J1738" s="3" t="str">
        <f>"33.110,00"</f>
        <v>33.110,00</v>
      </c>
      <c r="K1738" s="2" t="s">
        <v>1242</v>
      </c>
      <c r="L1738" s="2" t="s">
        <v>1415</v>
      </c>
      <c r="M1738" s="2" t="s">
        <v>345</v>
      </c>
      <c r="N1738" s="2" t="s">
        <v>23</v>
      </c>
      <c r="O1738" s="3" t="str">
        <f t="shared" si="45"/>
        <v>0,00</v>
      </c>
      <c r="P1738" s="4"/>
    </row>
    <row r="1739" spans="2:19" s="19" customFormat="1" ht="63" x14ac:dyDescent="0.25">
      <c r="B1739" s="16">
        <v>1506</v>
      </c>
      <c r="C1739" s="16" t="str">
        <f>"12-15/NOS-36/15"</f>
        <v>12-15/NOS-36/15</v>
      </c>
      <c r="D1739" s="16" t="s">
        <v>16</v>
      </c>
      <c r="E1739" s="16" t="s">
        <v>1250</v>
      </c>
      <c r="F1739" s="16" t="s">
        <v>194</v>
      </c>
      <c r="G1739" s="16" t="str">
        <f>"12-15/NOS-36/15"</f>
        <v>12-15/NOS-36/15</v>
      </c>
      <c r="H1739" s="16" t="str">
        <f t="shared" si="44"/>
        <v>Ugovor - narudžbenica (periodični predmet)</v>
      </c>
      <c r="I1739" s="16" t="s">
        <v>19</v>
      </c>
      <c r="J1739" s="17" t="str">
        <f>"59.850,00"</f>
        <v>59.850,00</v>
      </c>
      <c r="K1739" s="16" t="s">
        <v>1242</v>
      </c>
      <c r="L1739" s="16" t="s">
        <v>1403</v>
      </c>
      <c r="M1739" s="16" t="s">
        <v>197</v>
      </c>
      <c r="N1739" s="16" t="s">
        <v>23</v>
      </c>
      <c r="O1739" s="17" t="str">
        <f t="shared" si="45"/>
        <v>0,00</v>
      </c>
      <c r="P1739" s="18"/>
    </row>
    <row r="1740" spans="2:19" ht="63" x14ac:dyDescent="0.25">
      <c r="B1740" s="2">
        <v>1507</v>
      </c>
      <c r="C1740" s="2" t="str">
        <f>"13-15/NOS-209/13"</f>
        <v>13-15/NOS-209/13</v>
      </c>
      <c r="D1740" s="2" t="s">
        <v>16</v>
      </c>
      <c r="E1740" s="2" t="s">
        <v>1250</v>
      </c>
      <c r="F1740" s="2" t="s">
        <v>1296</v>
      </c>
      <c r="G1740" s="2" t="str">
        <f>"13-15/NOS-209/13"</f>
        <v>13-15/NOS-209/13</v>
      </c>
      <c r="H1740" s="2" t="str">
        <f t="shared" si="44"/>
        <v>Ugovor - narudžbenica (periodični predmet)</v>
      </c>
      <c r="I1740" s="2" t="s">
        <v>19</v>
      </c>
      <c r="J1740" s="3" t="str">
        <f>"90,00"</f>
        <v>90,00</v>
      </c>
      <c r="K1740" s="2" t="s">
        <v>1242</v>
      </c>
      <c r="L1740" s="2" t="s">
        <v>1411</v>
      </c>
      <c r="M1740" s="2" t="s">
        <v>111</v>
      </c>
      <c r="N1740" s="2" t="s">
        <v>23</v>
      </c>
      <c r="O1740" s="3" t="str">
        <f t="shared" si="45"/>
        <v>0,00</v>
      </c>
      <c r="P1740" s="4"/>
    </row>
    <row r="1741" spans="2:19" ht="63" x14ac:dyDescent="0.25">
      <c r="B1741" s="2">
        <v>1508</v>
      </c>
      <c r="C1741" s="2" t="str">
        <f>"14-15/NOS-90/15"</f>
        <v>14-15/NOS-90/15</v>
      </c>
      <c r="D1741" s="2" t="s">
        <v>16</v>
      </c>
      <c r="E1741" s="2" t="s">
        <v>1250</v>
      </c>
      <c r="F1741" s="2" t="s">
        <v>177</v>
      </c>
      <c r="G1741" s="2" t="str">
        <f>"14-15/NOS-90/15"</f>
        <v>14-15/NOS-90/15</v>
      </c>
      <c r="H1741" s="2" t="str">
        <f t="shared" si="44"/>
        <v>Ugovor - narudžbenica (periodični predmet)</v>
      </c>
      <c r="I1741" s="2" t="s">
        <v>19</v>
      </c>
      <c r="J1741" s="3" t="str">
        <f>"14.618,15"</f>
        <v>14.618,15</v>
      </c>
      <c r="K1741" s="2" t="s">
        <v>405</v>
      </c>
      <c r="L1741" s="2" t="s">
        <v>1411</v>
      </c>
      <c r="M1741" s="2" t="s">
        <v>180</v>
      </c>
      <c r="N1741" s="2" t="s">
        <v>23</v>
      </c>
      <c r="O1741" s="3" t="str">
        <f t="shared" si="45"/>
        <v>0,00</v>
      </c>
      <c r="P1741" s="4"/>
    </row>
    <row r="1742" spans="2:19" ht="63" x14ac:dyDescent="0.25">
      <c r="B1742" s="2">
        <v>1509</v>
      </c>
      <c r="C1742" s="2" t="str">
        <f>"10-15/NOS-50/12"</f>
        <v>10-15/NOS-50/12</v>
      </c>
      <c r="D1742" s="2" t="s">
        <v>85</v>
      </c>
      <c r="E1742" s="2" t="s">
        <v>1250</v>
      </c>
      <c r="F1742" s="2" t="s">
        <v>1284</v>
      </c>
      <c r="G1742" s="2" t="str">
        <f>"10-15/NOS-50/12"</f>
        <v>10-15/NOS-50/12</v>
      </c>
      <c r="H1742" s="2" t="str">
        <f t="shared" si="44"/>
        <v>Ugovor - narudžbenica (periodični predmet)</v>
      </c>
      <c r="I1742" s="2" t="s">
        <v>19</v>
      </c>
      <c r="J1742" s="3" t="str">
        <f>"13.200,63"</f>
        <v>13.200,63</v>
      </c>
      <c r="K1742" s="2" t="s">
        <v>405</v>
      </c>
      <c r="L1742" s="2" t="s">
        <v>1407</v>
      </c>
      <c r="M1742" s="2" t="s">
        <v>346</v>
      </c>
      <c r="N1742" s="2" t="s">
        <v>23</v>
      </c>
      <c r="O1742" s="3" t="str">
        <f t="shared" si="45"/>
        <v>0,00</v>
      </c>
      <c r="P1742" s="4"/>
    </row>
    <row r="1743" spans="2:19" s="15" customFormat="1" ht="63" x14ac:dyDescent="0.25">
      <c r="B1743" s="12">
        <v>1510</v>
      </c>
      <c r="C1743" s="12" t="str">
        <f>"32-15/NOS-97/14"</f>
        <v>32-15/NOS-97/14</v>
      </c>
      <c r="D1743" s="12" t="s">
        <v>16</v>
      </c>
      <c r="E1743" s="12" t="s">
        <v>1250</v>
      </c>
      <c r="F1743" s="12" t="s">
        <v>1285</v>
      </c>
      <c r="G1743" s="12" t="str">
        <f>"32-15/NOS-97/14"</f>
        <v>32-15/NOS-97/14</v>
      </c>
      <c r="H1743" s="12" t="str">
        <f t="shared" si="44"/>
        <v>Ugovor - narudžbenica (periodični predmet)</v>
      </c>
      <c r="I1743" s="12" t="s">
        <v>19</v>
      </c>
      <c r="J1743" s="13" t="str">
        <f>"12.356,44"</f>
        <v>12.356,44</v>
      </c>
      <c r="K1743" s="12" t="s">
        <v>1242</v>
      </c>
      <c r="L1743" s="31" t="s">
        <v>1411</v>
      </c>
      <c r="M1743" s="12" t="s">
        <v>164</v>
      </c>
      <c r="N1743" s="12" t="s">
        <v>23</v>
      </c>
      <c r="O1743" s="13" t="str">
        <f t="shared" si="45"/>
        <v>0,00</v>
      </c>
      <c r="P1743" s="14"/>
      <c r="S1743" s="15" t="s">
        <v>1561</v>
      </c>
    </row>
    <row r="1744" spans="2:19" ht="63" x14ac:dyDescent="0.25">
      <c r="B1744" s="2">
        <v>1511</v>
      </c>
      <c r="C1744" s="2" t="str">
        <f>"48-15/NOS-216-A/13"</f>
        <v>48-15/NOS-216-A/13</v>
      </c>
      <c r="D1744" s="2" t="s">
        <v>903</v>
      </c>
      <c r="E1744" s="2" t="s">
        <v>1250</v>
      </c>
      <c r="F1744" s="2" t="s">
        <v>1355</v>
      </c>
      <c r="G1744" s="2" t="str">
        <f>"48-15/NOS-216-A/13"</f>
        <v>48-15/NOS-216-A/13</v>
      </c>
      <c r="H1744" s="2" t="str">
        <f t="shared" si="44"/>
        <v>Ugovor - narudžbenica (periodični predmet)</v>
      </c>
      <c r="I1744" s="2" t="s">
        <v>19</v>
      </c>
      <c r="J1744" s="3" t="str">
        <f>"62.849,14"</f>
        <v>62.849,14</v>
      </c>
      <c r="K1744" s="2" t="s">
        <v>405</v>
      </c>
      <c r="L1744" s="2" t="s">
        <v>408</v>
      </c>
      <c r="M1744" s="2" t="s">
        <v>358</v>
      </c>
      <c r="N1744" s="2" t="str">
        <f>"30.12.2015"</f>
        <v>30.12.2015</v>
      </c>
      <c r="O1744" s="3" t="str">
        <f>"54.260,74"</f>
        <v>54.260,74</v>
      </c>
      <c r="P1744" s="4"/>
    </row>
    <row r="1745" spans="2:16" s="19" customFormat="1" ht="63" x14ac:dyDescent="0.25">
      <c r="B1745" s="16">
        <v>1513</v>
      </c>
      <c r="C1745" s="16" t="str">
        <f>"14-15/NOS-69/15"</f>
        <v>14-15/NOS-69/15</v>
      </c>
      <c r="D1745" s="16" t="s">
        <v>28</v>
      </c>
      <c r="E1745" s="16" t="s">
        <v>1250</v>
      </c>
      <c r="F1745" s="16" t="s">
        <v>268</v>
      </c>
      <c r="G1745" s="16" t="str">
        <f>"14-15/NOS-69/15"</f>
        <v>14-15/NOS-69/15</v>
      </c>
      <c r="H1745" s="16" t="str">
        <f t="shared" si="44"/>
        <v>Ugovor - narudžbenica (periodični predmet)</v>
      </c>
      <c r="I1745" s="16" t="s">
        <v>19</v>
      </c>
      <c r="J1745" s="17" t="str">
        <f>"4.275,60"</f>
        <v>4.275,60</v>
      </c>
      <c r="K1745" s="16" t="s">
        <v>405</v>
      </c>
      <c r="L1745" s="16" t="s">
        <v>1407</v>
      </c>
      <c r="M1745" s="16" t="s">
        <v>269</v>
      </c>
      <c r="N1745" s="16" t="s">
        <v>23</v>
      </c>
      <c r="O1745" s="17" t="str">
        <f>"0,00"</f>
        <v>0,00</v>
      </c>
      <c r="P1745" s="18"/>
    </row>
    <row r="1746" spans="2:16" s="15" customFormat="1" ht="38.25" customHeight="1" x14ac:dyDescent="0.25">
      <c r="B1746" s="32">
        <v>1516</v>
      </c>
      <c r="C1746" s="32" t="str">
        <f>"N-96-ZGH/14-1"</f>
        <v>N-96-ZGH/14-1</v>
      </c>
      <c r="D1746" s="32" t="s">
        <v>1417</v>
      </c>
      <c r="E1746" s="32" t="s">
        <v>1416</v>
      </c>
      <c r="F1746" s="32" t="s">
        <v>1418</v>
      </c>
      <c r="G1746" s="32" t="str">
        <f>"2014-1574"</f>
        <v>2014-1574</v>
      </c>
      <c r="H1746" s="32" t="str">
        <f>""</f>
        <v/>
      </c>
      <c r="I1746" s="32" t="s">
        <v>1419</v>
      </c>
      <c r="J1746" s="34">
        <v>981232</v>
      </c>
      <c r="K1746" s="32" t="s">
        <v>736</v>
      </c>
      <c r="L1746" s="32" t="s">
        <v>1209</v>
      </c>
      <c r="M1746" s="32" t="s">
        <v>1420</v>
      </c>
      <c r="N1746" s="32" t="str">
        <f>"14.01.2016"</f>
        <v>14.01.2016</v>
      </c>
      <c r="O1746" s="34">
        <v>981232</v>
      </c>
      <c r="P1746" s="20"/>
    </row>
    <row r="1747" spans="2:16" s="15" customFormat="1" ht="48.75" customHeight="1" x14ac:dyDescent="0.25">
      <c r="B1747" s="33"/>
      <c r="C1747" s="33"/>
      <c r="D1747" s="33"/>
      <c r="E1747" s="33"/>
      <c r="F1747" s="33"/>
      <c r="G1747" s="33"/>
      <c r="H1747" s="33"/>
      <c r="I1747" s="33"/>
      <c r="J1747" s="35"/>
      <c r="K1747" s="33"/>
      <c r="L1747" s="33"/>
      <c r="M1747" s="33"/>
      <c r="N1747" s="33"/>
      <c r="O1747" s="35"/>
      <c r="P1747" s="21"/>
    </row>
    <row r="1748" spans="2:16" ht="47.25" x14ac:dyDescent="0.25">
      <c r="B1748" s="2">
        <v>1517</v>
      </c>
      <c r="C1748" s="2" t="str">
        <f>"N-102/14"</f>
        <v>N-102/14</v>
      </c>
      <c r="D1748" s="2" t="s">
        <v>85</v>
      </c>
      <c r="E1748" s="2" t="s">
        <v>1416</v>
      </c>
      <c r="F1748" s="2" t="s">
        <v>1421</v>
      </c>
      <c r="G1748" s="2" t="str">
        <f>"2014-2085"</f>
        <v>2014-2085</v>
      </c>
      <c r="H1748" s="16" t="s">
        <v>1548</v>
      </c>
      <c r="I1748" s="2" t="s">
        <v>19</v>
      </c>
      <c r="J1748" s="3" t="str">
        <f>"1.108.670,20"</f>
        <v>1.108.670,20</v>
      </c>
      <c r="K1748" s="2" t="s">
        <v>1422</v>
      </c>
      <c r="L1748" s="2" t="s">
        <v>1423</v>
      </c>
      <c r="M1748" s="2" t="s">
        <v>250</v>
      </c>
      <c r="N1748" s="2" t="s">
        <v>23</v>
      </c>
      <c r="O1748" s="3" t="str">
        <f>"0,00"</f>
        <v>0,00</v>
      </c>
      <c r="P1748" s="4"/>
    </row>
    <row r="1749" spans="2:16" ht="31.5" x14ac:dyDescent="0.25">
      <c r="B1749" s="2">
        <v>1518</v>
      </c>
      <c r="C1749" s="2" t="str">
        <f>"N-104/14"</f>
        <v>N-104/14</v>
      </c>
      <c r="D1749" s="2" t="s">
        <v>16</v>
      </c>
      <c r="E1749" s="2" t="s">
        <v>1416</v>
      </c>
      <c r="F1749" s="2" t="s">
        <v>1424</v>
      </c>
      <c r="G1749" s="2" t="str">
        <f>"2014-2644"</f>
        <v>2014-2644</v>
      </c>
      <c r="H1749" s="16" t="s">
        <v>1549</v>
      </c>
      <c r="I1749" s="2" t="s">
        <v>19</v>
      </c>
      <c r="J1749" s="3" t="str">
        <f>"868.800,00"</f>
        <v>868.800,00</v>
      </c>
      <c r="K1749" s="2" t="s">
        <v>1253</v>
      </c>
      <c r="L1749" s="2" t="s">
        <v>1411</v>
      </c>
      <c r="M1749" s="2" t="s">
        <v>351</v>
      </c>
      <c r="N1749" s="2" t="str">
        <f>"17.03.2015"</f>
        <v>17.03.2015</v>
      </c>
      <c r="O1749" s="3" t="str">
        <f>"868.800,00"</f>
        <v>868.800,00</v>
      </c>
      <c r="P1749" s="4"/>
    </row>
    <row r="1750" spans="2:16" ht="31.5" x14ac:dyDescent="0.25">
      <c r="B1750" s="2">
        <v>1519</v>
      </c>
      <c r="C1750" s="2" t="str">
        <f>"N-113/14"</f>
        <v>N-113/14</v>
      </c>
      <c r="D1750" s="2" t="s">
        <v>16</v>
      </c>
      <c r="E1750" s="2" t="s">
        <v>1416</v>
      </c>
      <c r="F1750" s="2" t="s">
        <v>1425</v>
      </c>
      <c r="G1750" s="2" t="str">
        <f>"2014-606"</f>
        <v>2014-606</v>
      </c>
      <c r="H1750" s="16" t="s">
        <v>1550</v>
      </c>
      <c r="I1750" s="2" t="s">
        <v>19</v>
      </c>
      <c r="J1750" s="3" t="str">
        <f>"1.570.000,00"</f>
        <v>1.570.000,00</v>
      </c>
      <c r="K1750" s="2" t="s">
        <v>315</v>
      </c>
      <c r="L1750" s="2" t="s">
        <v>1426</v>
      </c>
      <c r="M1750" s="2" t="s">
        <v>454</v>
      </c>
      <c r="N1750" s="2" t="str">
        <f>"07.09.2015"</f>
        <v>07.09.2015</v>
      </c>
      <c r="O1750" s="3" t="str">
        <f>"1.570.000,00"</f>
        <v>1.570.000,00</v>
      </c>
      <c r="P1750" s="4"/>
    </row>
    <row r="1751" spans="2:16" ht="110.25" x14ac:dyDescent="0.25">
      <c r="B1751" s="2">
        <v>1520</v>
      </c>
      <c r="C1751" s="2" t="str">
        <f>"N-109-D/14"</f>
        <v>N-109-D/14</v>
      </c>
      <c r="D1751" s="2" t="s">
        <v>16</v>
      </c>
      <c r="E1751" s="2" t="s">
        <v>1416</v>
      </c>
      <c r="F1751" s="2" t="s">
        <v>1427</v>
      </c>
      <c r="G1751" s="2" t="str">
        <f>"2014-2672"</f>
        <v>2014-2672</v>
      </c>
      <c r="H1751" s="16" t="s">
        <v>1551</v>
      </c>
      <c r="I1751" s="2" t="s">
        <v>19</v>
      </c>
      <c r="J1751" s="3" t="str">
        <f>"5.747.945,19"</f>
        <v>5.747.945,19</v>
      </c>
      <c r="K1751" s="2" t="s">
        <v>1422</v>
      </c>
      <c r="L1751" s="2" t="s">
        <v>1423</v>
      </c>
      <c r="M1751" s="2" t="s">
        <v>1428</v>
      </c>
      <c r="N1751" s="2" t="s">
        <v>23</v>
      </c>
      <c r="O1751" s="3" t="str">
        <f>"0,00"</f>
        <v>0,00</v>
      </c>
      <c r="P1751" s="4"/>
    </row>
    <row r="1752" spans="2:16" ht="47.25" x14ac:dyDescent="0.25">
      <c r="B1752" s="2">
        <v>1521</v>
      </c>
      <c r="C1752" s="2" t="str">
        <f>"N-100/14"</f>
        <v>N-100/14</v>
      </c>
      <c r="D1752" s="2" t="s">
        <v>85</v>
      </c>
      <c r="E1752" s="2" t="s">
        <v>1416</v>
      </c>
      <c r="F1752" s="2" t="s">
        <v>1429</v>
      </c>
      <c r="G1752" s="2" t="str">
        <f>"2014-2683"</f>
        <v>2014-2683</v>
      </c>
      <c r="H1752" s="16" t="s">
        <v>1552</v>
      </c>
      <c r="I1752" s="2" t="s">
        <v>19</v>
      </c>
      <c r="J1752" s="3" t="str">
        <f>"2.368.711,00"</f>
        <v>2.368.711,00</v>
      </c>
      <c r="K1752" s="2" t="s">
        <v>695</v>
      </c>
      <c r="L1752" s="2" t="s">
        <v>1430</v>
      </c>
      <c r="M1752" s="2" t="s">
        <v>1201</v>
      </c>
      <c r="N1752" s="2" t="s">
        <v>23</v>
      </c>
      <c r="O1752" s="3" t="str">
        <f>"0,00"</f>
        <v>0,00</v>
      </c>
      <c r="P1752" s="4"/>
    </row>
    <row r="1753" spans="2:16" ht="47.25" x14ac:dyDescent="0.25">
      <c r="B1753" s="2">
        <v>1522</v>
      </c>
      <c r="C1753" s="2" t="str">
        <f>"N-107/14"</f>
        <v>N-107/14</v>
      </c>
      <c r="D1753" s="2" t="s">
        <v>85</v>
      </c>
      <c r="E1753" s="2" t="s">
        <v>1416</v>
      </c>
      <c r="F1753" s="2" t="s">
        <v>1431</v>
      </c>
      <c r="G1753" s="2" t="str">
        <f>"2014-2545"</f>
        <v>2014-2545</v>
      </c>
      <c r="H1753" s="16" t="s">
        <v>1553</v>
      </c>
      <c r="I1753" s="2" t="s">
        <v>19</v>
      </c>
      <c r="J1753" s="3" t="str">
        <f>"305.800,00"</f>
        <v>305.800,00</v>
      </c>
      <c r="K1753" s="2" t="s">
        <v>1432</v>
      </c>
      <c r="L1753" s="2" t="s">
        <v>1433</v>
      </c>
      <c r="M1753" s="2" t="s">
        <v>1434</v>
      </c>
      <c r="N1753" s="2" t="s">
        <v>23</v>
      </c>
      <c r="O1753" s="3" t="str">
        <f>"0,00"</f>
        <v>0,00</v>
      </c>
      <c r="P1753" s="4"/>
    </row>
    <row r="1754" spans="2:16" s="15" customFormat="1" ht="78.75" x14ac:dyDescent="0.25">
      <c r="B1754" s="12">
        <v>1523</v>
      </c>
      <c r="C1754" s="12" t="str">
        <f>"N-108/14"</f>
        <v>N-108/14</v>
      </c>
      <c r="D1754" s="12" t="s">
        <v>16</v>
      </c>
      <c r="E1754" s="12" t="s">
        <v>1416</v>
      </c>
      <c r="F1754" s="12" t="s">
        <v>1435</v>
      </c>
      <c r="G1754" s="12" t="str">
        <f>"2014-1861"</f>
        <v>2014-1861</v>
      </c>
      <c r="H1754" s="16" t="str">
        <f>"2015/S 003-0013379"</f>
        <v>2015/S 003-0013379</v>
      </c>
      <c r="I1754" s="12" t="s">
        <v>19</v>
      </c>
      <c r="J1754" s="13" t="str">
        <f>"305.000,00"</f>
        <v>305.000,00</v>
      </c>
      <c r="K1754" s="12" t="s">
        <v>67</v>
      </c>
      <c r="L1754" s="12" t="s">
        <v>1436</v>
      </c>
      <c r="M1754" s="12" t="s">
        <v>1437</v>
      </c>
      <c r="N1754" s="12" t="str">
        <f>"27.05.2015"</f>
        <v>27.05.2015</v>
      </c>
      <c r="O1754" s="13" t="str">
        <f>"225.018,00"</f>
        <v>225.018,00</v>
      </c>
      <c r="P1754" s="12"/>
    </row>
    <row r="1755" spans="2:16" ht="47.25" x14ac:dyDescent="0.25">
      <c r="B1755" s="2">
        <v>1524</v>
      </c>
      <c r="C1755" s="2" t="str">
        <f>"N-106/14"</f>
        <v>N-106/14</v>
      </c>
      <c r="D1755" s="2" t="s">
        <v>16</v>
      </c>
      <c r="E1755" s="2" t="s">
        <v>1416</v>
      </c>
      <c r="F1755" s="2" t="s">
        <v>1438</v>
      </c>
      <c r="G1755" s="2" t="str">
        <f>"2014-766"</f>
        <v>2014-766</v>
      </c>
      <c r="H1755" s="16" t="s">
        <v>1554</v>
      </c>
      <c r="I1755" s="2" t="s">
        <v>19</v>
      </c>
      <c r="J1755" s="3" t="str">
        <f>"1.636.981,77"</f>
        <v>1.636.981,77</v>
      </c>
      <c r="K1755" s="2" t="s">
        <v>105</v>
      </c>
      <c r="L1755" s="2" t="s">
        <v>1439</v>
      </c>
      <c r="M1755" s="2" t="s">
        <v>1440</v>
      </c>
      <c r="N1755" s="2" t="s">
        <v>23</v>
      </c>
      <c r="O1755" s="3" t="str">
        <f>"0,00"</f>
        <v>0,00</v>
      </c>
      <c r="P1755" s="4"/>
    </row>
    <row r="1756" spans="2:16" ht="63" x14ac:dyDescent="0.25">
      <c r="B1756" s="2">
        <v>1525</v>
      </c>
      <c r="C1756" s="2" t="str">
        <f>"N-110/14"</f>
        <v>N-110/14</v>
      </c>
      <c r="D1756" s="2" t="s">
        <v>284</v>
      </c>
      <c r="E1756" s="2" t="s">
        <v>1416</v>
      </c>
      <c r="F1756" s="2" t="s">
        <v>1441</v>
      </c>
      <c r="G1756" s="2" t="str">
        <f>"2014-2784"</f>
        <v>2014-2784</v>
      </c>
      <c r="H1756" s="16" t="s">
        <v>1555</v>
      </c>
      <c r="I1756" s="2" t="s">
        <v>19</v>
      </c>
      <c r="J1756" s="3" t="str">
        <f>"1.843.150,68"</f>
        <v>1.843.150,68</v>
      </c>
      <c r="K1756" s="2" t="s">
        <v>67</v>
      </c>
      <c r="L1756" s="2" t="s">
        <v>1436</v>
      </c>
      <c r="M1756" s="2" t="s">
        <v>1442</v>
      </c>
      <c r="N1756" s="2" t="s">
        <v>23</v>
      </c>
      <c r="O1756" s="3" t="str">
        <f>"0,00"</f>
        <v>0,00</v>
      </c>
      <c r="P1756" s="4"/>
    </row>
    <row r="1757" spans="2:16" ht="31.5" x14ac:dyDescent="0.25">
      <c r="B1757" s="2">
        <v>1526</v>
      </c>
      <c r="C1757" s="2" t="str">
        <f>"N-105/14"</f>
        <v>N-105/14</v>
      </c>
      <c r="D1757" s="2" t="s">
        <v>85</v>
      </c>
      <c r="E1757" s="2" t="s">
        <v>1416</v>
      </c>
      <c r="F1757" s="2" t="s">
        <v>1443</v>
      </c>
      <c r="G1757" s="2" t="str">
        <f>"2014-2147"</f>
        <v>2014-2147</v>
      </c>
      <c r="H1757" s="2" t="str">
        <f>"2015/S 003-0009717"</f>
        <v>2015/S 003-0009717</v>
      </c>
      <c r="I1757" s="2" t="s">
        <v>19</v>
      </c>
      <c r="J1757" s="3" t="str">
        <f>"686.222,00"</f>
        <v>686.222,00</v>
      </c>
      <c r="K1757" s="2" t="s">
        <v>1444</v>
      </c>
      <c r="L1757" s="2" t="s">
        <v>1445</v>
      </c>
      <c r="M1757" s="2" t="s">
        <v>266</v>
      </c>
      <c r="N1757" s="2" t="s">
        <v>23</v>
      </c>
      <c r="O1757" s="3" t="str">
        <f>"0,00"</f>
        <v>0,00</v>
      </c>
      <c r="P1757" s="4"/>
    </row>
    <row r="1758" spans="2:16" ht="15.75" x14ac:dyDescent="0.25">
      <c r="B1758" s="36">
        <v>1527</v>
      </c>
      <c r="C1758" s="36" t="str">
        <f>"N-112/14"</f>
        <v>N-112/14</v>
      </c>
      <c r="D1758" s="36" t="s">
        <v>16</v>
      </c>
      <c r="E1758" s="36" t="s">
        <v>1416</v>
      </c>
      <c r="F1758" s="36" t="s">
        <v>1446</v>
      </c>
      <c r="G1758" s="36" t="str">
        <f>"2014-2411"</f>
        <v>2014-2411</v>
      </c>
      <c r="H1758" s="36" t="str">
        <f>"2015/S 003-0019111"</f>
        <v>2015/S 003-0019111</v>
      </c>
      <c r="I1758" s="36" t="s">
        <v>19</v>
      </c>
      <c r="J1758" s="38" t="str">
        <f>"3.287.657,00"</f>
        <v>3.287.657,00</v>
      </c>
      <c r="K1758" s="36" t="s">
        <v>864</v>
      </c>
      <c r="L1758" s="36" t="s">
        <v>1447</v>
      </c>
      <c r="M1758" s="36" t="s">
        <v>248</v>
      </c>
      <c r="N1758" s="36" t="str">
        <f>"20.11.2015"</f>
        <v>20.11.2015</v>
      </c>
      <c r="O1758" s="38" t="str">
        <f>"3.123.139,00"</f>
        <v>3.123.139,00</v>
      </c>
      <c r="P1758" s="6"/>
    </row>
    <row r="1759" spans="2:16" ht="15.75" x14ac:dyDescent="0.25">
      <c r="B1759" s="37"/>
      <c r="C1759" s="37"/>
      <c r="D1759" s="37"/>
      <c r="E1759" s="37"/>
      <c r="F1759" s="37"/>
      <c r="G1759" s="37"/>
      <c r="H1759" s="37"/>
      <c r="I1759" s="37"/>
      <c r="J1759" s="39"/>
      <c r="K1759" s="37"/>
      <c r="L1759" s="37"/>
      <c r="M1759" s="37"/>
      <c r="N1759" s="37"/>
      <c r="O1759" s="39"/>
      <c r="P1759" s="8"/>
    </row>
    <row r="1760" spans="2:16" ht="47.25" x14ac:dyDescent="0.25">
      <c r="B1760" s="2">
        <v>1528</v>
      </c>
      <c r="C1760" s="2" t="str">
        <f>"N-3/15"</f>
        <v>N-3/15</v>
      </c>
      <c r="D1760" s="2" t="s">
        <v>16</v>
      </c>
      <c r="E1760" s="2" t="s">
        <v>1416</v>
      </c>
      <c r="F1760" s="2" t="s">
        <v>1448</v>
      </c>
      <c r="G1760" s="2" t="str">
        <f>"2015-3"</f>
        <v>2015-3</v>
      </c>
      <c r="H1760" s="2" t="str">
        <f>"2015/S 003-0024631"</f>
        <v>2015/S 003-0024631</v>
      </c>
      <c r="I1760" s="2" t="s">
        <v>19</v>
      </c>
      <c r="J1760" s="3" t="str">
        <f>"13.200.000,00"</f>
        <v>13.200.000,00</v>
      </c>
      <c r="K1760" s="2" t="s">
        <v>71</v>
      </c>
      <c r="L1760" s="2" t="s">
        <v>1449</v>
      </c>
      <c r="M1760" s="2" t="s">
        <v>274</v>
      </c>
      <c r="N1760" s="2" t="str">
        <f>"30.12.2015"</f>
        <v>30.12.2015</v>
      </c>
      <c r="O1760" s="3" t="str">
        <f>"1.833.176,40"</f>
        <v>1.833.176,40</v>
      </c>
      <c r="P1760" s="4"/>
    </row>
    <row r="1761" spans="2:16" ht="47.25" x14ac:dyDescent="0.25">
      <c r="B1761" s="2">
        <v>1529</v>
      </c>
      <c r="C1761" s="2" t="str">
        <f>"N-7/15"</f>
        <v>N-7/15</v>
      </c>
      <c r="D1761" s="2" t="s">
        <v>16</v>
      </c>
      <c r="E1761" s="2" t="s">
        <v>1416</v>
      </c>
      <c r="F1761" s="2" t="s">
        <v>1450</v>
      </c>
      <c r="G1761" s="2" t="str">
        <f>"2015-4"</f>
        <v>2015-4</v>
      </c>
      <c r="H1761" s="2" t="str">
        <f>"2015/S 003-0027145"</f>
        <v>2015/S 003-0027145</v>
      </c>
      <c r="I1761" s="2" t="s">
        <v>19</v>
      </c>
      <c r="J1761" s="3" t="str">
        <f>"2.250.000,00"</f>
        <v>2.250.000,00</v>
      </c>
      <c r="K1761" s="2" t="s">
        <v>203</v>
      </c>
      <c r="L1761" s="2" t="s">
        <v>1451</v>
      </c>
      <c r="M1761" s="2" t="s">
        <v>274</v>
      </c>
      <c r="N1761" s="2" t="str">
        <f>"30.12.2015"</f>
        <v>30.12.2015</v>
      </c>
      <c r="O1761" s="3" t="str">
        <f>"92.640,00"</f>
        <v>92.640,00</v>
      </c>
      <c r="P1761" s="4"/>
    </row>
    <row r="1762" spans="2:16" ht="63" x14ac:dyDescent="0.25">
      <c r="B1762" s="2">
        <v>1530</v>
      </c>
      <c r="C1762" s="2" t="str">
        <f>"N-6/15"</f>
        <v>N-6/15</v>
      </c>
      <c r="D1762" s="2" t="s">
        <v>16</v>
      </c>
      <c r="E1762" s="2" t="s">
        <v>1416</v>
      </c>
      <c r="F1762" s="2" t="s">
        <v>1452</v>
      </c>
      <c r="G1762" s="2" t="str">
        <f>"2015-7"</f>
        <v>2015-7</v>
      </c>
      <c r="H1762" s="2" t="str">
        <f>"2015/S 003-0029054"</f>
        <v>2015/S 003-0029054</v>
      </c>
      <c r="I1762" s="2" t="s">
        <v>19</v>
      </c>
      <c r="J1762" s="3" t="str">
        <f>"2.107.500,00"</f>
        <v>2.107.500,00</v>
      </c>
      <c r="K1762" s="2" t="s">
        <v>203</v>
      </c>
      <c r="L1762" s="2" t="s">
        <v>1451</v>
      </c>
      <c r="M1762" s="2" t="s">
        <v>274</v>
      </c>
      <c r="N1762" s="2" t="str">
        <f>"30.12.2015"</f>
        <v>30.12.2015</v>
      </c>
      <c r="O1762" s="3" t="str">
        <f>"32.697,16"</f>
        <v>32.697,16</v>
      </c>
      <c r="P1762" s="4"/>
    </row>
    <row r="1763" spans="2:16" ht="31.5" x14ac:dyDescent="0.25">
      <c r="B1763" s="2">
        <v>1531</v>
      </c>
      <c r="C1763" s="2" t="str">
        <f>"N-5/15"</f>
        <v>N-5/15</v>
      </c>
      <c r="D1763" s="2" t="s">
        <v>16</v>
      </c>
      <c r="E1763" s="2" t="s">
        <v>1416</v>
      </c>
      <c r="F1763" s="2" t="s">
        <v>1453</v>
      </c>
      <c r="G1763" s="2" t="str">
        <f>"2015-41"</f>
        <v>2015-41</v>
      </c>
      <c r="H1763" s="2" t="str">
        <f>"2015/S  003-0026429"</f>
        <v>2015/S  003-0026429</v>
      </c>
      <c r="I1763" s="2" t="s">
        <v>19</v>
      </c>
      <c r="J1763" s="3" t="str">
        <f>"3.124.000,00"</f>
        <v>3.124.000,00</v>
      </c>
      <c r="K1763" s="2" t="s">
        <v>252</v>
      </c>
      <c r="L1763" s="2" t="s">
        <v>1454</v>
      </c>
      <c r="M1763" s="2" t="s">
        <v>111</v>
      </c>
      <c r="N1763" s="2" t="str">
        <f>"17.09.2015"</f>
        <v>17.09.2015</v>
      </c>
      <c r="O1763" s="3" t="str">
        <f>"3.123.172,14"</f>
        <v>3.123.172,14</v>
      </c>
      <c r="P1763" s="2"/>
    </row>
    <row r="1764" spans="2:16" ht="31.5" x14ac:dyDescent="0.25">
      <c r="B1764" s="2">
        <v>1532</v>
      </c>
      <c r="C1764" s="2" t="str">
        <f>"N-1/15"</f>
        <v>N-1/15</v>
      </c>
      <c r="D1764" s="2" t="s">
        <v>16</v>
      </c>
      <c r="E1764" s="2" t="s">
        <v>1416</v>
      </c>
      <c r="F1764" s="2" t="s">
        <v>1455</v>
      </c>
      <c r="G1764" s="2" t="str">
        <f>"2015-42"</f>
        <v>2015-42</v>
      </c>
      <c r="H1764" s="2" t="str">
        <f>"2015/S 003-0020730"</f>
        <v>2015/S 003-0020730</v>
      </c>
      <c r="I1764" s="2" t="s">
        <v>19</v>
      </c>
      <c r="J1764" s="3" t="str">
        <f>"162.526,40"</f>
        <v>162.526,40</v>
      </c>
      <c r="K1764" s="2" t="s">
        <v>885</v>
      </c>
      <c r="L1764" s="2" t="s">
        <v>1456</v>
      </c>
      <c r="M1764" s="2" t="s">
        <v>1457</v>
      </c>
      <c r="N1764" s="2" t="str">
        <f>"24.08.2015"</f>
        <v>24.08.2015</v>
      </c>
      <c r="O1764" s="3" t="str">
        <f>"162.526,40"</f>
        <v>162.526,40</v>
      </c>
      <c r="P1764" s="4"/>
    </row>
    <row r="1765" spans="2:16" ht="47.25" x14ac:dyDescent="0.25">
      <c r="B1765" s="2">
        <v>1533</v>
      </c>
      <c r="C1765" s="2" t="str">
        <f>"N-20-A/15"</f>
        <v>N-20-A/15</v>
      </c>
      <c r="D1765" s="2" t="s">
        <v>28</v>
      </c>
      <c r="E1765" s="2" t="s">
        <v>1416</v>
      </c>
      <c r="F1765" s="2" t="s">
        <v>1458</v>
      </c>
      <c r="G1765" s="2" t="str">
        <f>"2015-99"</f>
        <v>2015-99</v>
      </c>
      <c r="H1765" s="2" t="str">
        <f>"2015/S 003-0033459"</f>
        <v>2015/S 003-0033459</v>
      </c>
      <c r="I1765" s="2" t="s">
        <v>19</v>
      </c>
      <c r="J1765" s="3" t="str">
        <f>"2.777.750,00"</f>
        <v>2.777.750,00</v>
      </c>
      <c r="K1765" s="2" t="s">
        <v>1076</v>
      </c>
      <c r="L1765" s="2" t="s">
        <v>1459</v>
      </c>
      <c r="M1765" s="2" t="s">
        <v>111</v>
      </c>
      <c r="N1765" s="2" t="str">
        <f>"28.12.2015"</f>
        <v>28.12.2015</v>
      </c>
      <c r="O1765" s="3" t="str">
        <f>"2.777.750,00"</f>
        <v>2.777.750,00</v>
      </c>
      <c r="P1765" s="4"/>
    </row>
    <row r="1766" spans="2:16" ht="47.25" x14ac:dyDescent="0.25">
      <c r="B1766" s="2">
        <v>1534</v>
      </c>
      <c r="C1766" s="2" t="str">
        <f>"N-4/15"</f>
        <v>N-4/15</v>
      </c>
      <c r="D1766" s="2" t="s">
        <v>16</v>
      </c>
      <c r="E1766" s="2" t="s">
        <v>1416</v>
      </c>
      <c r="F1766" s="2" t="s">
        <v>1460</v>
      </c>
      <c r="G1766" s="2" t="str">
        <f>"2015-1918"</f>
        <v>2015-1918</v>
      </c>
      <c r="H1766" s="2" t="str">
        <f>"2015/S 003-0024446"</f>
        <v>2015/S 003-0024446</v>
      </c>
      <c r="I1766" s="2" t="s">
        <v>19</v>
      </c>
      <c r="J1766" s="3" t="str">
        <f>"289.946,00"</f>
        <v>289.946,00</v>
      </c>
      <c r="K1766" s="2" t="s">
        <v>375</v>
      </c>
      <c r="L1766" s="2" t="s">
        <v>1461</v>
      </c>
      <c r="M1766" s="2" t="s">
        <v>574</v>
      </c>
      <c r="N1766" s="2" t="str">
        <f>"29.07.2015"</f>
        <v>29.07.2015</v>
      </c>
      <c r="O1766" s="3" t="str">
        <f>"289.946,00"</f>
        <v>289.946,00</v>
      </c>
      <c r="P1766" s="4"/>
    </row>
    <row r="1767" spans="2:16" ht="110.25" x14ac:dyDescent="0.25">
      <c r="B1767" s="2">
        <v>1535</v>
      </c>
      <c r="C1767" s="2" t="str">
        <f>"N-8/15"</f>
        <v>N-8/15</v>
      </c>
      <c r="D1767" s="2" t="s">
        <v>85</v>
      </c>
      <c r="E1767" s="2" t="s">
        <v>1416</v>
      </c>
      <c r="F1767" s="2" t="s">
        <v>1462</v>
      </c>
      <c r="G1767" s="2" t="str">
        <f>"2015-1998"</f>
        <v>2015-1998</v>
      </c>
      <c r="H1767" s="2" t="str">
        <f>"2015/S 003-0024558"</f>
        <v>2015/S 003-0024558</v>
      </c>
      <c r="I1767" s="2" t="s">
        <v>19</v>
      </c>
      <c r="J1767" s="3" t="str">
        <f>"1.172.675,00"</f>
        <v>1.172.675,00</v>
      </c>
      <c r="K1767" s="2" t="s">
        <v>1300</v>
      </c>
      <c r="L1767" s="2" t="s">
        <v>1463</v>
      </c>
      <c r="M1767" s="2" t="s">
        <v>1201</v>
      </c>
      <c r="N1767" s="2" t="s">
        <v>23</v>
      </c>
      <c r="O1767" s="3" t="str">
        <f>"0,00"</f>
        <v>0,00</v>
      </c>
      <c r="P1767" s="4"/>
    </row>
    <row r="1768" spans="2:16" ht="78.75" x14ac:dyDescent="0.25">
      <c r="B1768" s="2">
        <v>1536</v>
      </c>
      <c r="C1768" s="2" t="str">
        <f>"N-10/15"</f>
        <v>N-10/15</v>
      </c>
      <c r="D1768" s="2" t="s">
        <v>16</v>
      </c>
      <c r="E1768" s="2" t="s">
        <v>1416</v>
      </c>
      <c r="F1768" s="2" t="s">
        <v>1464</v>
      </c>
      <c r="G1768" s="2" t="str">
        <f>"2015-2232"</f>
        <v>2015-2232</v>
      </c>
      <c r="H1768" s="2" t="str">
        <f>"2015/S 003-0029050"</f>
        <v>2015/S 003-0029050</v>
      </c>
      <c r="I1768" s="2" t="s">
        <v>19</v>
      </c>
      <c r="J1768" s="3" t="str">
        <f>"4.983.424,00"</f>
        <v>4.983.424,00</v>
      </c>
      <c r="K1768" s="2" t="s">
        <v>412</v>
      </c>
      <c r="L1768" s="2" t="s">
        <v>1465</v>
      </c>
      <c r="M1768" s="2" t="s">
        <v>1466</v>
      </c>
      <c r="N1768" s="2" t="str">
        <f>"09.09.2015"</f>
        <v>09.09.2015</v>
      </c>
      <c r="O1768" s="3" t="str">
        <f>"2.434.009,50"</f>
        <v>2.434.009,50</v>
      </c>
      <c r="P1768" s="2"/>
    </row>
    <row r="1769" spans="2:16" ht="47.25" x14ac:dyDescent="0.25">
      <c r="B1769" s="2">
        <v>1537</v>
      </c>
      <c r="C1769" s="2" t="str">
        <f>"N-9/15"</f>
        <v>N-9/15</v>
      </c>
      <c r="D1769" s="2" t="s">
        <v>16</v>
      </c>
      <c r="E1769" s="2" t="s">
        <v>1416</v>
      </c>
      <c r="F1769" s="2" t="s">
        <v>1467</v>
      </c>
      <c r="G1769" s="2" t="str">
        <f>"2015-959"</f>
        <v>2015-959</v>
      </c>
      <c r="H1769" s="2" t="str">
        <f>"2015/S  003-0030381"</f>
        <v>2015/S  003-0030381</v>
      </c>
      <c r="I1769" s="2" t="s">
        <v>19</v>
      </c>
      <c r="J1769" s="3" t="str">
        <f>"1.545.000,00"</f>
        <v>1.545.000,00</v>
      </c>
      <c r="K1769" s="2" t="s">
        <v>158</v>
      </c>
      <c r="L1769" s="2" t="s">
        <v>1468</v>
      </c>
      <c r="M1769" s="2" t="s">
        <v>201</v>
      </c>
      <c r="N1769" s="2" t="str">
        <f>"17.09.2015"</f>
        <v>17.09.2015</v>
      </c>
      <c r="O1769" s="3" t="str">
        <f>"585.000,00"</f>
        <v>585.000,00</v>
      </c>
      <c r="P1769" s="4"/>
    </row>
    <row r="1770" spans="2:16" ht="78.75" x14ac:dyDescent="0.25">
      <c r="B1770" s="2">
        <v>1538</v>
      </c>
      <c r="C1770" s="2" t="str">
        <f>"N-11/15"</f>
        <v>N-11/15</v>
      </c>
      <c r="D1770" s="2" t="s">
        <v>85</v>
      </c>
      <c r="E1770" s="2" t="s">
        <v>1416</v>
      </c>
      <c r="F1770" s="2" t="s">
        <v>1469</v>
      </c>
      <c r="G1770" s="2" t="str">
        <f>"2015-1512"</f>
        <v>2015-1512</v>
      </c>
      <c r="H1770" s="2" t="str">
        <f>"2015/S  003-0029499"</f>
        <v>2015/S  003-0029499</v>
      </c>
      <c r="I1770" s="2" t="s">
        <v>1470</v>
      </c>
      <c r="J1770" s="3" t="str">
        <f>"7.052.047,60"</f>
        <v>7.052.047,60</v>
      </c>
      <c r="K1770" s="2" t="s">
        <v>516</v>
      </c>
      <c r="L1770" s="2" t="s">
        <v>1471</v>
      </c>
      <c r="M1770" s="2" t="s">
        <v>1472</v>
      </c>
      <c r="N1770" s="2" t="s">
        <v>23</v>
      </c>
      <c r="O1770" s="3" t="str">
        <f t="shared" ref="O1770:O1785" si="46">"0,00"</f>
        <v>0,00</v>
      </c>
      <c r="P1770" s="4"/>
    </row>
    <row r="1771" spans="2:16" ht="94.5" x14ac:dyDescent="0.25">
      <c r="B1771" s="2">
        <v>1539</v>
      </c>
      <c r="C1771" s="2" t="str">
        <f>"N-14/15"</f>
        <v>N-14/15</v>
      </c>
      <c r="D1771" s="2" t="s">
        <v>16</v>
      </c>
      <c r="E1771" s="2" t="s">
        <v>1416</v>
      </c>
      <c r="F1771" s="2" t="s">
        <v>1473</v>
      </c>
      <c r="G1771" s="2" t="str">
        <f>"2015-2239"</f>
        <v>2015-2239</v>
      </c>
      <c r="H1771" s="2" t="str">
        <f>"2015/S  003-0031227"</f>
        <v>2015/S  003-0031227</v>
      </c>
      <c r="I1771" s="2" t="s">
        <v>19</v>
      </c>
      <c r="J1771" s="3" t="str">
        <f>"3.829.721,80"</f>
        <v>3.829.721,80</v>
      </c>
      <c r="K1771" s="2" t="s">
        <v>182</v>
      </c>
      <c r="L1771" s="2" t="s">
        <v>1474</v>
      </c>
      <c r="M1771" s="2" t="s">
        <v>249</v>
      </c>
      <c r="N1771" s="2" t="s">
        <v>23</v>
      </c>
      <c r="O1771" s="3" t="str">
        <f t="shared" si="46"/>
        <v>0,00</v>
      </c>
      <c r="P1771" s="4"/>
    </row>
    <row r="1772" spans="2:16" ht="63" x14ac:dyDescent="0.25">
      <c r="B1772" s="2">
        <v>1540</v>
      </c>
      <c r="C1772" s="2" t="str">
        <f>"N-29/15"</f>
        <v>N-29/15</v>
      </c>
      <c r="D1772" s="2" t="s">
        <v>85</v>
      </c>
      <c r="E1772" s="2" t="s">
        <v>1416</v>
      </c>
      <c r="F1772" s="2" t="s">
        <v>1475</v>
      </c>
      <c r="G1772" s="2" t="str">
        <f>"2015-1955"</f>
        <v>2015-1955</v>
      </c>
      <c r="H1772" s="2" t="str">
        <f>"2015/S 003-0038588"</f>
        <v>2015/S 003-0038588</v>
      </c>
      <c r="I1772" s="2" t="s">
        <v>19</v>
      </c>
      <c r="J1772" s="3" t="str">
        <f>"1.589.021,00"</f>
        <v>1.589.021,00</v>
      </c>
      <c r="K1772" s="2" t="s">
        <v>1108</v>
      </c>
      <c r="L1772" s="2" t="s">
        <v>1476</v>
      </c>
      <c r="M1772" s="2" t="s">
        <v>1477</v>
      </c>
      <c r="N1772" s="2" t="s">
        <v>23</v>
      </c>
      <c r="O1772" s="3" t="str">
        <f t="shared" si="46"/>
        <v>0,00</v>
      </c>
      <c r="P1772" s="4"/>
    </row>
    <row r="1773" spans="2:16" ht="47.25" x14ac:dyDescent="0.25">
      <c r="B1773" s="2">
        <v>1541</v>
      </c>
      <c r="C1773" s="2" t="str">
        <f>"N-17/15"</f>
        <v>N-17/15</v>
      </c>
      <c r="D1773" s="2" t="s">
        <v>85</v>
      </c>
      <c r="E1773" s="2" t="s">
        <v>1416</v>
      </c>
      <c r="F1773" s="2" t="s">
        <v>1478</v>
      </c>
      <c r="G1773" s="2" t="str">
        <f>"2015-1937"</f>
        <v>2015-1937</v>
      </c>
      <c r="H1773" s="2" t="str">
        <f>"2015/S 003-0038674"</f>
        <v>2015/S 003-0038674</v>
      </c>
      <c r="I1773" s="2" t="s">
        <v>19</v>
      </c>
      <c r="J1773" s="3" t="str">
        <f>"1.244.586,30"</f>
        <v>1.244.586,30</v>
      </c>
      <c r="K1773" s="2" t="s">
        <v>1345</v>
      </c>
      <c r="L1773" s="2" t="s">
        <v>1479</v>
      </c>
      <c r="M1773" s="2" t="s">
        <v>250</v>
      </c>
      <c r="N1773" s="2" t="s">
        <v>23</v>
      </c>
      <c r="O1773" s="3" t="str">
        <f t="shared" si="46"/>
        <v>0,00</v>
      </c>
      <c r="P1773" s="4"/>
    </row>
    <row r="1774" spans="2:16" ht="47.25" x14ac:dyDescent="0.25">
      <c r="B1774" s="2">
        <v>1542</v>
      </c>
      <c r="C1774" s="2" t="str">
        <f>"N-15/15"</f>
        <v>N-15/15</v>
      </c>
      <c r="D1774" s="2" t="s">
        <v>85</v>
      </c>
      <c r="E1774" s="2" t="s">
        <v>1416</v>
      </c>
      <c r="F1774" s="2" t="s">
        <v>1480</v>
      </c>
      <c r="G1774" s="2" t="str">
        <f>"2015-1936"</f>
        <v>2015-1936</v>
      </c>
      <c r="H1774" s="2" t="str">
        <f>"2015/S 003-0038778"</f>
        <v>2015/S 003-0038778</v>
      </c>
      <c r="I1774" s="2" t="s">
        <v>19</v>
      </c>
      <c r="J1774" s="3" t="str">
        <f>"819.030,82"</f>
        <v>819.030,82</v>
      </c>
      <c r="K1774" s="2" t="s">
        <v>464</v>
      </c>
      <c r="L1774" s="2" t="s">
        <v>1481</v>
      </c>
      <c r="M1774" s="2" t="s">
        <v>1295</v>
      </c>
      <c r="N1774" s="2" t="s">
        <v>23</v>
      </c>
      <c r="O1774" s="3" t="str">
        <f t="shared" si="46"/>
        <v>0,00</v>
      </c>
      <c r="P1774" s="4"/>
    </row>
    <row r="1775" spans="2:16" ht="47.25" x14ac:dyDescent="0.25">
      <c r="B1775" s="2">
        <v>1543</v>
      </c>
      <c r="C1775" s="2" t="str">
        <f>"N-32/15"</f>
        <v>N-32/15</v>
      </c>
      <c r="D1775" s="2" t="s">
        <v>85</v>
      </c>
      <c r="E1775" s="2" t="s">
        <v>1416</v>
      </c>
      <c r="F1775" s="2" t="s">
        <v>1482</v>
      </c>
      <c r="G1775" s="2" t="str">
        <f>"2015-2000"</f>
        <v>2015-2000</v>
      </c>
      <c r="H1775" s="2" t="str">
        <f>"2015/S 003-0038304"</f>
        <v>2015/S 003-0038304</v>
      </c>
      <c r="I1775" s="2" t="s">
        <v>19</v>
      </c>
      <c r="J1775" s="3" t="str">
        <f>"11.237.765,80"</f>
        <v>11.237.765,80</v>
      </c>
      <c r="K1775" s="2" t="s">
        <v>433</v>
      </c>
      <c r="L1775" s="2" t="s">
        <v>1483</v>
      </c>
      <c r="M1775" s="2" t="s">
        <v>939</v>
      </c>
      <c r="N1775" s="2" t="s">
        <v>23</v>
      </c>
      <c r="O1775" s="3" t="str">
        <f t="shared" si="46"/>
        <v>0,00</v>
      </c>
      <c r="P1775" s="4"/>
    </row>
    <row r="1776" spans="2:16" ht="47.25" x14ac:dyDescent="0.25">
      <c r="B1776" s="2">
        <v>1544</v>
      </c>
      <c r="C1776" s="2" t="str">
        <f>"N-35/15"</f>
        <v>N-35/15</v>
      </c>
      <c r="D1776" s="2" t="s">
        <v>85</v>
      </c>
      <c r="E1776" s="2" t="s">
        <v>1416</v>
      </c>
      <c r="F1776" s="2" t="s">
        <v>1484</v>
      </c>
      <c r="G1776" s="2" t="str">
        <f>"2015-1954"</f>
        <v>2015-1954</v>
      </c>
      <c r="H1776" s="2" t="str">
        <f>"2016/S 003-0000181"</f>
        <v>2016/S 003-0000181</v>
      </c>
      <c r="I1776" s="2" t="s">
        <v>19</v>
      </c>
      <c r="J1776" s="3" t="str">
        <f>"2.310.441,00"</f>
        <v>2.310.441,00</v>
      </c>
      <c r="K1776" s="2" t="s">
        <v>1179</v>
      </c>
      <c r="L1776" s="2" t="s">
        <v>1485</v>
      </c>
      <c r="M1776" s="2" t="s">
        <v>1486</v>
      </c>
      <c r="N1776" s="2" t="s">
        <v>23</v>
      </c>
      <c r="O1776" s="3" t="str">
        <f t="shared" si="46"/>
        <v>0,00</v>
      </c>
      <c r="P1776" s="4"/>
    </row>
    <row r="1777" spans="2:16" ht="31.5" x14ac:dyDescent="0.25">
      <c r="B1777" s="2">
        <v>1545</v>
      </c>
      <c r="C1777" s="2" t="str">
        <f>"N-25/15"</f>
        <v>N-25/15</v>
      </c>
      <c r="D1777" s="2" t="s">
        <v>85</v>
      </c>
      <c r="E1777" s="2" t="s">
        <v>1416</v>
      </c>
      <c r="F1777" s="2" t="s">
        <v>1487</v>
      </c>
      <c r="G1777" s="2" t="str">
        <f>"2015-2002"</f>
        <v>2015-2002</v>
      </c>
      <c r="H1777" s="2" t="str">
        <f>"2015/S 003-0038297"</f>
        <v>2015/S 003-0038297</v>
      </c>
      <c r="I1777" s="2" t="s">
        <v>19</v>
      </c>
      <c r="J1777" s="3" t="str">
        <f>"1.003.668,22"</f>
        <v>1.003.668,22</v>
      </c>
      <c r="K1777" s="2" t="s">
        <v>472</v>
      </c>
      <c r="L1777" s="2" t="s">
        <v>1488</v>
      </c>
      <c r="M1777" s="2" t="s">
        <v>250</v>
      </c>
      <c r="N1777" s="2" t="s">
        <v>23</v>
      </c>
      <c r="O1777" s="3" t="str">
        <f t="shared" si="46"/>
        <v>0,00</v>
      </c>
      <c r="P1777" s="4"/>
    </row>
    <row r="1778" spans="2:16" ht="47.25" x14ac:dyDescent="0.25">
      <c r="B1778" s="2">
        <v>1546</v>
      </c>
      <c r="C1778" s="2" t="str">
        <f>"N-21/15"</f>
        <v>N-21/15</v>
      </c>
      <c r="D1778" s="2" t="s">
        <v>85</v>
      </c>
      <c r="E1778" s="2" t="s">
        <v>1416</v>
      </c>
      <c r="F1778" s="2" t="s">
        <v>1489</v>
      </c>
      <c r="G1778" s="2" t="str">
        <f>"2015-1997"</f>
        <v>2015-1997</v>
      </c>
      <c r="H1778" s="2" t="str">
        <f>"2015/S 003-0038461"</f>
        <v>2015/S 003-0038461</v>
      </c>
      <c r="I1778" s="2" t="s">
        <v>19</v>
      </c>
      <c r="J1778" s="3" t="str">
        <f>"914.381,31"</f>
        <v>914.381,31</v>
      </c>
      <c r="K1778" s="2" t="s">
        <v>1087</v>
      </c>
      <c r="L1778" s="2" t="s">
        <v>1490</v>
      </c>
      <c r="M1778" s="2" t="s">
        <v>599</v>
      </c>
      <c r="N1778" s="2" t="s">
        <v>23</v>
      </c>
      <c r="O1778" s="3" t="str">
        <f t="shared" si="46"/>
        <v>0,00</v>
      </c>
      <c r="P1778" s="4"/>
    </row>
    <row r="1779" spans="2:16" ht="126" x14ac:dyDescent="0.25">
      <c r="B1779" s="2">
        <v>1547</v>
      </c>
      <c r="C1779" s="2" t="str">
        <f>"N-24/15"</f>
        <v>N-24/15</v>
      </c>
      <c r="D1779" s="2" t="s">
        <v>85</v>
      </c>
      <c r="E1779" s="2" t="s">
        <v>1416</v>
      </c>
      <c r="F1779" s="2" t="s">
        <v>1491</v>
      </c>
      <c r="G1779" s="2" t="str">
        <f>"2015-1991"</f>
        <v>2015-1991</v>
      </c>
      <c r="H1779" s="2" t="str">
        <f>"2015/S 003-0038281"</f>
        <v>2015/S 003-0038281</v>
      </c>
      <c r="I1779" s="2" t="s">
        <v>19</v>
      </c>
      <c r="J1779" s="3" t="str">
        <f>"98.890,00"</f>
        <v>98.890,00</v>
      </c>
      <c r="K1779" s="2" t="s">
        <v>472</v>
      </c>
      <c r="L1779" s="2" t="s">
        <v>1488</v>
      </c>
      <c r="M1779" s="2" t="s">
        <v>1492</v>
      </c>
      <c r="N1779" s="2" t="s">
        <v>23</v>
      </c>
      <c r="O1779" s="3" t="str">
        <f t="shared" si="46"/>
        <v>0,00</v>
      </c>
      <c r="P1779" s="4"/>
    </row>
    <row r="1780" spans="2:16" ht="78.75" x14ac:dyDescent="0.25">
      <c r="B1780" s="2">
        <v>1548</v>
      </c>
      <c r="C1780" s="2" t="str">
        <f>"N-28/15"</f>
        <v>N-28/15</v>
      </c>
      <c r="D1780" s="2" t="s">
        <v>85</v>
      </c>
      <c r="E1780" s="2" t="s">
        <v>1416</v>
      </c>
      <c r="F1780" s="2" t="s">
        <v>1493</v>
      </c>
      <c r="G1780" s="2" t="str">
        <f>"2015-1989"</f>
        <v>2015-1989</v>
      </c>
      <c r="H1780" s="2" t="str">
        <f>"2015/S 003-0038578"</f>
        <v>2015/S 003-0038578</v>
      </c>
      <c r="I1780" s="2" t="s">
        <v>19</v>
      </c>
      <c r="J1780" s="3" t="str">
        <f>"104.490,00"</f>
        <v>104.490,00</v>
      </c>
      <c r="K1780" s="2" t="s">
        <v>1108</v>
      </c>
      <c r="L1780" s="2" t="s">
        <v>1476</v>
      </c>
      <c r="M1780" s="2" t="s">
        <v>1492</v>
      </c>
      <c r="N1780" s="2" t="s">
        <v>23</v>
      </c>
      <c r="O1780" s="3" t="str">
        <f t="shared" si="46"/>
        <v>0,00</v>
      </c>
      <c r="P1780" s="4"/>
    </row>
    <row r="1781" spans="2:16" ht="78.75" x14ac:dyDescent="0.25">
      <c r="B1781" s="2">
        <v>1549</v>
      </c>
      <c r="C1781" s="2" t="str">
        <f>"N-22/15"</f>
        <v>N-22/15</v>
      </c>
      <c r="D1781" s="2" t="s">
        <v>85</v>
      </c>
      <c r="E1781" s="2" t="s">
        <v>1416</v>
      </c>
      <c r="F1781" s="2" t="s">
        <v>1494</v>
      </c>
      <c r="G1781" s="2" t="str">
        <f>"2015-1988"</f>
        <v>2015-1988</v>
      </c>
      <c r="H1781" s="2" t="str">
        <f>"2015/S 003-0035750"</f>
        <v>2015/S 003-0035750</v>
      </c>
      <c r="I1781" s="2" t="s">
        <v>19</v>
      </c>
      <c r="J1781" s="3" t="str">
        <f>"339.000,00"</f>
        <v>339.000,00</v>
      </c>
      <c r="K1781" s="2" t="s">
        <v>1341</v>
      </c>
      <c r="L1781" s="2" t="s">
        <v>1495</v>
      </c>
      <c r="M1781" s="2" t="s">
        <v>436</v>
      </c>
      <c r="N1781" s="2" t="s">
        <v>23</v>
      </c>
      <c r="O1781" s="3" t="str">
        <f t="shared" si="46"/>
        <v>0,00</v>
      </c>
      <c r="P1781" s="4"/>
    </row>
    <row r="1782" spans="2:16" ht="78.75" x14ac:dyDescent="0.25">
      <c r="B1782" s="2">
        <v>1550</v>
      </c>
      <c r="C1782" s="2" t="str">
        <f>"N-31/15"</f>
        <v>N-31/15</v>
      </c>
      <c r="D1782" s="2" t="s">
        <v>85</v>
      </c>
      <c r="E1782" s="2" t="s">
        <v>1416</v>
      </c>
      <c r="F1782" s="2" t="s">
        <v>1496</v>
      </c>
      <c r="G1782" s="2" t="str">
        <f>"2015-1992"</f>
        <v>2015-1992</v>
      </c>
      <c r="H1782" s="2" t="str">
        <f>"2015/S 003-0038286"</f>
        <v>2015/S 003-0038286</v>
      </c>
      <c r="I1782" s="2" t="s">
        <v>19</v>
      </c>
      <c r="J1782" s="3" t="str">
        <f>"120.000,00"</f>
        <v>120.000,00</v>
      </c>
      <c r="K1782" s="2" t="s">
        <v>478</v>
      </c>
      <c r="L1782" s="2" t="s">
        <v>1497</v>
      </c>
      <c r="M1782" s="2" t="s">
        <v>437</v>
      </c>
      <c r="N1782" s="2" t="s">
        <v>23</v>
      </c>
      <c r="O1782" s="3" t="str">
        <f t="shared" si="46"/>
        <v>0,00</v>
      </c>
      <c r="P1782" s="4"/>
    </row>
    <row r="1783" spans="2:16" ht="315" x14ac:dyDescent="0.25">
      <c r="B1783" s="2">
        <v>1551</v>
      </c>
      <c r="C1783" s="2" t="str">
        <f>"N-23/15"</f>
        <v>N-23/15</v>
      </c>
      <c r="D1783" s="2" t="s">
        <v>85</v>
      </c>
      <c r="E1783" s="2" t="s">
        <v>1416</v>
      </c>
      <c r="F1783" s="2" t="s">
        <v>1498</v>
      </c>
      <c r="G1783" s="2" t="str">
        <f>"2015-1982"</f>
        <v>2015-1982</v>
      </c>
      <c r="H1783" s="2" t="str">
        <f>"2015/S 003-0033987"</f>
        <v>2015/S 003-0033987</v>
      </c>
      <c r="I1783" s="2" t="s">
        <v>19</v>
      </c>
      <c r="J1783" s="3" t="str">
        <f>"31.637.900,00"</f>
        <v>31.637.900,00</v>
      </c>
      <c r="K1783" s="2" t="s">
        <v>1341</v>
      </c>
      <c r="L1783" s="2" t="s">
        <v>982</v>
      </c>
      <c r="M1783" s="2" t="s">
        <v>1499</v>
      </c>
      <c r="N1783" s="2" t="s">
        <v>23</v>
      </c>
      <c r="O1783" s="3" t="str">
        <f t="shared" si="46"/>
        <v>0,00</v>
      </c>
      <c r="P1783" s="4"/>
    </row>
    <row r="1784" spans="2:16" ht="47.25" x14ac:dyDescent="0.25">
      <c r="B1784" s="2">
        <v>1552</v>
      </c>
      <c r="C1784" s="2" t="str">
        <f>"N-13/15"</f>
        <v>N-13/15</v>
      </c>
      <c r="D1784" s="2" t="s">
        <v>16</v>
      </c>
      <c r="E1784" s="2" t="s">
        <v>1416</v>
      </c>
      <c r="F1784" s="2" t="s">
        <v>1500</v>
      </c>
      <c r="G1784" s="2" t="str">
        <f>"2015-2344"</f>
        <v>2015-2344</v>
      </c>
      <c r="H1784" s="2" t="str">
        <f>"2015/S 003-0034591"</f>
        <v>2015/S 003-0034591</v>
      </c>
      <c r="I1784" s="2" t="s">
        <v>19</v>
      </c>
      <c r="J1784" s="3" t="str">
        <f>"240.000,00"</f>
        <v>240.000,00</v>
      </c>
      <c r="K1784" s="2" t="s">
        <v>207</v>
      </c>
      <c r="L1784" s="2" t="s">
        <v>1501</v>
      </c>
      <c r="M1784" s="2" t="s">
        <v>1502</v>
      </c>
      <c r="N1784" s="2" t="s">
        <v>23</v>
      </c>
      <c r="O1784" s="3" t="str">
        <f t="shared" si="46"/>
        <v>0,00</v>
      </c>
      <c r="P1784" s="4"/>
    </row>
    <row r="1785" spans="2:16" ht="47.25" x14ac:dyDescent="0.25">
      <c r="B1785" s="2">
        <v>1553</v>
      </c>
      <c r="C1785" s="2" t="str">
        <f>"N-12/15"</f>
        <v>N-12/15</v>
      </c>
      <c r="D1785" s="2" t="s">
        <v>16</v>
      </c>
      <c r="E1785" s="2" t="s">
        <v>1416</v>
      </c>
      <c r="F1785" s="2" t="s">
        <v>1503</v>
      </c>
      <c r="G1785" s="2" t="str">
        <f>"2015-1256"</f>
        <v>2015-1256</v>
      </c>
      <c r="H1785" s="2" t="str">
        <f>"2015/S 003-0035730"</f>
        <v>2015/S 003-0035730</v>
      </c>
      <c r="I1785" s="2" t="s">
        <v>19</v>
      </c>
      <c r="J1785" s="3" t="str">
        <f>"912.000,00"</f>
        <v>912.000,00</v>
      </c>
      <c r="K1785" s="2" t="s">
        <v>178</v>
      </c>
      <c r="L1785" s="2" t="s">
        <v>1504</v>
      </c>
      <c r="M1785" s="2" t="s">
        <v>144</v>
      </c>
      <c r="N1785" s="2" t="s">
        <v>23</v>
      </c>
      <c r="O1785" s="3" t="str">
        <f t="shared" si="46"/>
        <v>0,00</v>
      </c>
      <c r="P1785" s="4"/>
    </row>
    <row r="1786" spans="2:16" ht="31.5" x14ac:dyDescent="0.25">
      <c r="B1786" s="2">
        <v>1554</v>
      </c>
      <c r="C1786" s="2" t="str">
        <f>"N-18/15"</f>
        <v>N-18/15</v>
      </c>
      <c r="D1786" s="2" t="s">
        <v>16</v>
      </c>
      <c r="E1786" s="2" t="s">
        <v>1416</v>
      </c>
      <c r="F1786" s="2" t="s">
        <v>1505</v>
      </c>
      <c r="G1786" s="2" t="str">
        <f>"2015-2382"</f>
        <v>2015-2382</v>
      </c>
      <c r="H1786" s="2" t="str">
        <f>"2016/S 003-0000180"</f>
        <v>2016/S 003-0000180</v>
      </c>
      <c r="I1786" s="2" t="s">
        <v>19</v>
      </c>
      <c r="J1786" s="3" t="str">
        <f>"285.871,00"</f>
        <v>285.871,00</v>
      </c>
      <c r="K1786" s="2" t="s">
        <v>386</v>
      </c>
      <c r="L1786" s="2" t="s">
        <v>1506</v>
      </c>
      <c r="M1786" s="2" t="s">
        <v>1507</v>
      </c>
      <c r="N1786" s="2" t="str">
        <f>"02.12.2015"</f>
        <v>02.12.2015</v>
      </c>
      <c r="O1786" s="3" t="str">
        <f>"277.531,00"</f>
        <v>277.531,00</v>
      </c>
      <c r="P1786" s="4"/>
    </row>
    <row r="1787" spans="2:16" ht="47.25" x14ac:dyDescent="0.25">
      <c r="B1787" s="2">
        <v>1555</v>
      </c>
      <c r="C1787" s="2" t="str">
        <f>"N-16/15"</f>
        <v>N-16/15</v>
      </c>
      <c r="D1787" s="2" t="s">
        <v>16</v>
      </c>
      <c r="E1787" s="2" t="s">
        <v>1416</v>
      </c>
      <c r="F1787" s="2" t="s">
        <v>1508</v>
      </c>
      <c r="G1787" s="2" t="str">
        <f>"2015-2404"</f>
        <v>2015-2404</v>
      </c>
      <c r="H1787" s="2" t="str">
        <f>"2015/S  003-0030805"</f>
        <v>2015/S  003-0030805</v>
      </c>
      <c r="I1787" s="2" t="s">
        <v>19</v>
      </c>
      <c r="J1787" s="3" t="str">
        <f>"267.750,00"</f>
        <v>267.750,00</v>
      </c>
      <c r="K1787" s="2" t="s">
        <v>464</v>
      </c>
      <c r="L1787" s="2" t="s">
        <v>1481</v>
      </c>
      <c r="M1787" s="2" t="s">
        <v>275</v>
      </c>
      <c r="N1787" s="2" t="str">
        <f>"16.12.2015"</f>
        <v>16.12.2015</v>
      </c>
      <c r="O1787" s="3" t="str">
        <f>"34.331,50"</f>
        <v>34.331,50</v>
      </c>
      <c r="P1787" s="4"/>
    </row>
    <row r="1788" spans="2:16" ht="78.75" x14ac:dyDescent="0.25">
      <c r="B1788" s="2">
        <v>1556</v>
      </c>
      <c r="C1788" s="2" t="str">
        <f>"N-19/15"</f>
        <v>N-19/15</v>
      </c>
      <c r="D1788" s="2" t="s">
        <v>16</v>
      </c>
      <c r="E1788" s="2" t="s">
        <v>1416</v>
      </c>
      <c r="F1788" s="2" t="s">
        <v>1509</v>
      </c>
      <c r="G1788" s="2" t="str">
        <f>"2015-2332"</f>
        <v>2015-2332</v>
      </c>
      <c r="H1788" s="2" t="str">
        <f>"2015/S 003-0032930"</f>
        <v>2015/S 003-0032930</v>
      </c>
      <c r="I1788" s="2" t="s">
        <v>19</v>
      </c>
      <c r="J1788" s="3" t="str">
        <f>"455.000,00"</f>
        <v>455.000,00</v>
      </c>
      <c r="K1788" s="2" t="s">
        <v>1069</v>
      </c>
      <c r="L1788" s="2" t="s">
        <v>1510</v>
      </c>
      <c r="M1788" s="2" t="s">
        <v>1511</v>
      </c>
      <c r="N1788" s="2" t="str">
        <f>"23.12.2015"</f>
        <v>23.12.2015</v>
      </c>
      <c r="O1788" s="3" t="str">
        <f>"382.655,00"</f>
        <v>382.655,00</v>
      </c>
      <c r="P1788" s="4"/>
    </row>
    <row r="1789" spans="2:16" ht="47.25" x14ac:dyDescent="0.25">
      <c r="B1789" s="2">
        <v>1557</v>
      </c>
      <c r="C1789" s="2" t="str">
        <f>"N-26/15"</f>
        <v>N-26/15</v>
      </c>
      <c r="D1789" s="2" t="s">
        <v>16</v>
      </c>
      <c r="E1789" s="2" t="s">
        <v>1416</v>
      </c>
      <c r="F1789" s="2" t="s">
        <v>1512</v>
      </c>
      <c r="G1789" s="2" t="str">
        <f>"2015-2406"</f>
        <v>2015-2406</v>
      </c>
      <c r="H1789" s="2" t="str">
        <f>"2015/S 003-0032743"</f>
        <v>2015/S 003-0032743</v>
      </c>
      <c r="I1789" s="2" t="s">
        <v>19</v>
      </c>
      <c r="J1789" s="3" t="str">
        <f>"1.730.484,00"</f>
        <v>1.730.484,00</v>
      </c>
      <c r="K1789" s="2" t="s">
        <v>1051</v>
      </c>
      <c r="L1789" s="2" t="s">
        <v>1513</v>
      </c>
      <c r="M1789" s="2" t="s">
        <v>574</v>
      </c>
      <c r="N1789" s="2" t="s">
        <v>23</v>
      </c>
      <c r="O1789" s="3" t="str">
        <f>"0,00"</f>
        <v>0,00</v>
      </c>
      <c r="P1789" s="4"/>
    </row>
    <row r="1790" spans="2:16" ht="47.25" x14ac:dyDescent="0.25">
      <c r="B1790" s="2">
        <v>1558</v>
      </c>
      <c r="C1790" s="2" t="str">
        <f>"N-39/15"</f>
        <v>N-39/15</v>
      </c>
      <c r="D1790" s="2" t="s">
        <v>16</v>
      </c>
      <c r="E1790" s="2" t="s">
        <v>1416</v>
      </c>
      <c r="F1790" s="2" t="s">
        <v>1514</v>
      </c>
      <c r="G1790" s="2" t="str">
        <f>"2015-713"</f>
        <v>2015-713</v>
      </c>
      <c r="H1790" s="2" t="s">
        <v>1556</v>
      </c>
      <c r="I1790" s="2" t="s">
        <v>19</v>
      </c>
      <c r="J1790" s="3" t="str">
        <f>"232.946,00"</f>
        <v>232.946,00</v>
      </c>
      <c r="K1790" s="2" t="s">
        <v>1400</v>
      </c>
      <c r="L1790" s="2" t="s">
        <v>1515</v>
      </c>
      <c r="M1790" s="2" t="s">
        <v>1516</v>
      </c>
      <c r="N1790" s="2" t="s">
        <v>23</v>
      </c>
      <c r="O1790" s="3" t="str">
        <f>"0,00"</f>
        <v>0,00</v>
      </c>
      <c r="P1790" s="4"/>
    </row>
    <row r="1791" spans="2:16" ht="47.25" x14ac:dyDescent="0.25">
      <c r="B1791" s="2">
        <v>1559</v>
      </c>
      <c r="C1791" s="2" t="str">
        <f>"N-38/15"</f>
        <v>N-38/15</v>
      </c>
      <c r="D1791" s="2" t="s">
        <v>16</v>
      </c>
      <c r="E1791" s="2" t="s">
        <v>1416</v>
      </c>
      <c r="F1791" s="2" t="s">
        <v>1517</v>
      </c>
      <c r="G1791" s="2" t="str">
        <f>"2015-1001"</f>
        <v>2015-1001</v>
      </c>
      <c r="H1791" s="2" t="s">
        <v>1557</v>
      </c>
      <c r="I1791" s="2" t="s">
        <v>19</v>
      </c>
      <c r="J1791" s="3" t="str">
        <f>"3.742.233,00"</f>
        <v>3.742.233,00</v>
      </c>
      <c r="K1791" s="2" t="s">
        <v>390</v>
      </c>
      <c r="L1791" s="2" t="s">
        <v>1518</v>
      </c>
      <c r="M1791" s="2" t="s">
        <v>218</v>
      </c>
      <c r="N1791" s="2" t="str">
        <f>"13.01.2016"</f>
        <v>13.01.2016</v>
      </c>
      <c r="O1791" s="3" t="str">
        <f>"1.033.864,00"</f>
        <v>1.033.864,00</v>
      </c>
      <c r="P1791" s="4"/>
    </row>
    <row r="1792" spans="2:16" ht="31.5" x14ac:dyDescent="0.25">
      <c r="B1792" s="2">
        <v>1560</v>
      </c>
      <c r="C1792" s="2" t="str">
        <f>"N-36/15"</f>
        <v>N-36/15</v>
      </c>
      <c r="D1792" s="2" t="s">
        <v>16</v>
      </c>
      <c r="E1792" s="2" t="s">
        <v>1416</v>
      </c>
      <c r="F1792" s="2" t="s">
        <v>1519</v>
      </c>
      <c r="G1792" s="2" t="str">
        <f>"2015-2442"</f>
        <v>2015-2442</v>
      </c>
      <c r="H1792" s="2" t="s">
        <v>1558</v>
      </c>
      <c r="I1792" s="2" t="s">
        <v>19</v>
      </c>
      <c r="J1792" s="3" t="str">
        <f>"1.780.000,00"</f>
        <v>1.780.000,00</v>
      </c>
      <c r="K1792" s="2" t="s">
        <v>1398</v>
      </c>
      <c r="L1792" s="2" t="s">
        <v>1520</v>
      </c>
      <c r="M1792" s="2" t="s">
        <v>1521</v>
      </c>
      <c r="N1792" s="2" t="s">
        <v>23</v>
      </c>
      <c r="O1792" s="3" t="str">
        <f>"0,00"</f>
        <v>0,00</v>
      </c>
      <c r="P1792" s="4"/>
    </row>
    <row r="1793" spans="2:16" ht="63" x14ac:dyDescent="0.25">
      <c r="B1793" s="2">
        <v>1561</v>
      </c>
      <c r="C1793" s="2" t="str">
        <f>"N-37/15"</f>
        <v>N-37/15</v>
      </c>
      <c r="D1793" s="2" t="s">
        <v>16</v>
      </c>
      <c r="E1793" s="2" t="s">
        <v>1416</v>
      </c>
      <c r="F1793" s="2" t="s">
        <v>1522</v>
      </c>
      <c r="G1793" s="2" t="str">
        <f>"2015-2450"</f>
        <v>2015-2450</v>
      </c>
      <c r="H1793" s="2" t="s">
        <v>1559</v>
      </c>
      <c r="I1793" s="2" t="s">
        <v>19</v>
      </c>
      <c r="J1793" s="3" t="str">
        <f>"959.000,00"</f>
        <v>959.000,00</v>
      </c>
      <c r="K1793" s="2" t="s">
        <v>1398</v>
      </c>
      <c r="L1793" s="2" t="s">
        <v>1523</v>
      </c>
      <c r="M1793" s="2" t="s">
        <v>1524</v>
      </c>
      <c r="N1793" s="2" t="s">
        <v>23</v>
      </c>
      <c r="O1793" s="3" t="str">
        <f>"0,00"</f>
        <v>0,00</v>
      </c>
      <c r="P1793" s="4"/>
    </row>
    <row r="1794" spans="2:16" ht="47.25" x14ac:dyDescent="0.25">
      <c r="B1794" s="2">
        <v>1562</v>
      </c>
      <c r="C1794" s="2" t="str">
        <f>"N-33/15"</f>
        <v>N-33/15</v>
      </c>
      <c r="D1794" s="2" t="s">
        <v>28</v>
      </c>
      <c r="E1794" s="2" t="s">
        <v>1416</v>
      </c>
      <c r="F1794" s="2" t="s">
        <v>1525</v>
      </c>
      <c r="G1794" s="2" t="str">
        <f>"2015-2445"</f>
        <v>2015-2445</v>
      </c>
      <c r="H1794" s="2" t="s">
        <v>1560</v>
      </c>
      <c r="I1794" s="2" t="s">
        <v>19</v>
      </c>
      <c r="J1794" s="3" t="str">
        <f>"1.543.047,56"</f>
        <v>1.543.047,56</v>
      </c>
      <c r="K1794" s="2" t="s">
        <v>1089</v>
      </c>
      <c r="L1794" s="2" t="s">
        <v>1526</v>
      </c>
      <c r="M1794" s="2" t="s">
        <v>218</v>
      </c>
      <c r="N1794" s="2" t="str">
        <f>"15.01.2016"</f>
        <v>15.01.2016</v>
      </c>
      <c r="O1794" s="3" t="str">
        <f>"1.155.236,98"</f>
        <v>1.155.236,98</v>
      </c>
      <c r="P1794" s="4"/>
    </row>
    <row r="1795" spans="2:16" ht="94.5" x14ac:dyDescent="0.25">
      <c r="B1795" s="2">
        <v>1563</v>
      </c>
      <c r="C1795" s="2" t="str">
        <f>"N-27/15"</f>
        <v>N-27/15</v>
      </c>
      <c r="D1795" s="2" t="s">
        <v>16</v>
      </c>
      <c r="E1795" s="2" t="s">
        <v>1416</v>
      </c>
      <c r="F1795" s="2" t="s">
        <v>1527</v>
      </c>
      <c r="G1795" s="2" t="str">
        <f>"2015-2469"</f>
        <v>2015-2469</v>
      </c>
      <c r="H1795" s="12" t="s">
        <v>1565</v>
      </c>
      <c r="I1795" s="2" t="s">
        <v>1470</v>
      </c>
      <c r="J1795" s="3" t="str">
        <f>"1.332.506,95"</f>
        <v>1.332.506,95</v>
      </c>
      <c r="K1795" s="2" t="s">
        <v>1096</v>
      </c>
      <c r="L1795" s="2" t="s">
        <v>1528</v>
      </c>
      <c r="M1795" s="2" t="s">
        <v>1529</v>
      </c>
      <c r="N1795" s="2" t="s">
        <v>23</v>
      </c>
      <c r="O1795" s="3" t="str">
        <f>"0,00"</f>
        <v>0,00</v>
      </c>
      <c r="P1795" s="4"/>
    </row>
    <row r="1796" spans="2:16" ht="126" x14ac:dyDescent="0.25">
      <c r="B1796" s="2">
        <v>1564</v>
      </c>
      <c r="C1796" s="2" t="str">
        <f>"N-30/15"</f>
        <v>N-30/15</v>
      </c>
      <c r="D1796" s="2" t="s">
        <v>16</v>
      </c>
      <c r="E1796" s="2" t="s">
        <v>1416</v>
      </c>
      <c r="F1796" s="2" t="s">
        <v>1530</v>
      </c>
      <c r="G1796" s="2" t="str">
        <f>"2015-2544"</f>
        <v>2015-2544</v>
      </c>
      <c r="H1796" s="2" t="str">
        <f>"2015/S 003-0032740"</f>
        <v>2015/S 003-0032740</v>
      </c>
      <c r="I1796" s="2" t="s">
        <v>1470</v>
      </c>
      <c r="J1796" s="3" t="str">
        <f>"2.296.000,00"</f>
        <v>2.296.000,00</v>
      </c>
      <c r="K1796" s="2" t="s">
        <v>478</v>
      </c>
      <c r="L1796" s="2" t="s">
        <v>1497</v>
      </c>
      <c r="M1796" s="2" t="s">
        <v>1531</v>
      </c>
      <c r="N1796" s="2" t="s">
        <v>23</v>
      </c>
      <c r="O1796" s="3" t="str">
        <f>"0,00"</f>
        <v>0,00</v>
      </c>
      <c r="P1796" s="4"/>
    </row>
    <row r="1797" spans="2:16" ht="63" x14ac:dyDescent="0.25">
      <c r="B1797" s="2">
        <v>1565</v>
      </c>
      <c r="C1797" s="2" t="str">
        <f>"N-34/15"</f>
        <v>N-34/15</v>
      </c>
      <c r="D1797" s="2" t="s">
        <v>16</v>
      </c>
      <c r="E1797" s="2" t="s">
        <v>1416</v>
      </c>
      <c r="F1797" s="2" t="s">
        <v>1532</v>
      </c>
      <c r="G1797" s="2" t="str">
        <f>"2015-2557"</f>
        <v>2015-2557</v>
      </c>
      <c r="H1797" s="12" t="s">
        <v>1566</v>
      </c>
      <c r="I1797" s="2" t="s">
        <v>1470</v>
      </c>
      <c r="J1797" s="3" t="str">
        <f>"7.487.418,89"</f>
        <v>7.487.418,89</v>
      </c>
      <c r="K1797" s="2" t="s">
        <v>1089</v>
      </c>
      <c r="L1797" s="2" t="s">
        <v>1533</v>
      </c>
      <c r="M1797" s="2" t="s">
        <v>1534</v>
      </c>
      <c r="N1797" s="2" t="s">
        <v>23</v>
      </c>
      <c r="O1797" s="3" t="str">
        <f>"0,00"</f>
        <v>0,00</v>
      </c>
      <c r="P1797" s="4"/>
    </row>
    <row r="1798" spans="2:16" ht="63" x14ac:dyDescent="0.25">
      <c r="B1798" s="2">
        <v>1566</v>
      </c>
      <c r="C1798" s="2" t="str">
        <f>"N-20-B/15"</f>
        <v>N-20-B/15</v>
      </c>
      <c r="D1798" s="2" t="s">
        <v>28</v>
      </c>
      <c r="E1798" s="2" t="s">
        <v>1416</v>
      </c>
      <c r="F1798" s="2" t="s">
        <v>1535</v>
      </c>
      <c r="G1798" s="2" t="str">
        <f>"2015-99"</f>
        <v>2015-99</v>
      </c>
      <c r="H1798" s="2" t="str">
        <f>"2015/S 003-0033459"</f>
        <v>2015/S 003-0033459</v>
      </c>
      <c r="I1798" s="2" t="s">
        <v>19</v>
      </c>
      <c r="J1798" s="3" t="str">
        <f>"3.000,00"</f>
        <v>3.000,00</v>
      </c>
      <c r="K1798" s="2" t="s">
        <v>207</v>
      </c>
      <c r="L1798" s="2" t="s">
        <v>1501</v>
      </c>
      <c r="M1798" s="2" t="s">
        <v>416</v>
      </c>
      <c r="N1798" s="2" t="str">
        <f>"22.10.2015"</f>
        <v>22.10.2015</v>
      </c>
      <c r="O1798" s="3" t="str">
        <f>"3.000,00"</f>
        <v>3.000,00</v>
      </c>
      <c r="P1798" s="4"/>
    </row>
    <row r="1799" spans="2:16" ht="63" x14ac:dyDescent="0.25">
      <c r="B1799" s="2">
        <v>1567</v>
      </c>
      <c r="C1799" s="2" t="str">
        <f>"N-20-C/15"</f>
        <v>N-20-C/15</v>
      </c>
      <c r="D1799" s="2" t="s">
        <v>28</v>
      </c>
      <c r="E1799" s="2" t="s">
        <v>1416</v>
      </c>
      <c r="F1799" s="2" t="s">
        <v>1536</v>
      </c>
      <c r="G1799" s="2" t="str">
        <f>"2015-99"</f>
        <v>2015-99</v>
      </c>
      <c r="H1799" s="2" t="str">
        <f>"2015/S 003-0033459"</f>
        <v>2015/S 003-0033459</v>
      </c>
      <c r="I1799" s="2" t="s">
        <v>19</v>
      </c>
      <c r="J1799" s="3" t="str">
        <f>"1.150,00"</f>
        <v>1.150,00</v>
      </c>
      <c r="K1799" s="2" t="s">
        <v>207</v>
      </c>
      <c r="L1799" s="2" t="s">
        <v>1501</v>
      </c>
      <c r="M1799" s="2" t="s">
        <v>111</v>
      </c>
      <c r="N1799" s="2" t="s">
        <v>23</v>
      </c>
      <c r="O1799" s="3" t="str">
        <f>"0,00"</f>
        <v>0,00</v>
      </c>
      <c r="P1799" s="4"/>
    </row>
  </sheetData>
  <sheetProtection password="D053" sheet="1" formatCells="0" formatColumns="0" formatRows="0" insertColumns="0" insertRows="0" insertHyperlinks="0" deleteColumns="0" deleteRows="0" sort="0" autoFilter="0" pivotTables="0"/>
  <autoFilter ref="B5:P1799"/>
  <mergeCells count="1512">
    <mergeCell ref="J13:J15"/>
    <mergeCell ref="K13:K15"/>
    <mergeCell ref="L13:L15"/>
    <mergeCell ref="N13:N15"/>
    <mergeCell ref="O13:O15"/>
    <mergeCell ref="P13:P15"/>
    <mergeCell ref="O9:O11"/>
    <mergeCell ref="P9:P11"/>
    <mergeCell ref="B13:B15"/>
    <mergeCell ref="C13:C15"/>
    <mergeCell ref="D13:D15"/>
    <mergeCell ref="E13:E15"/>
    <mergeCell ref="F13:F15"/>
    <mergeCell ref="G13:G15"/>
    <mergeCell ref="H13:H15"/>
    <mergeCell ref="I13:I15"/>
    <mergeCell ref="H9:H11"/>
    <mergeCell ref="I9:I11"/>
    <mergeCell ref="J9:J11"/>
    <mergeCell ref="K9:K11"/>
    <mergeCell ref="L9:L11"/>
    <mergeCell ref="N9:N11"/>
    <mergeCell ref="B9:B11"/>
    <mergeCell ref="C9:C11"/>
    <mergeCell ref="D9:D11"/>
    <mergeCell ref="E9:E11"/>
    <mergeCell ref="F9:F11"/>
    <mergeCell ref="G9:G11"/>
    <mergeCell ref="J26:J28"/>
    <mergeCell ref="K26:K28"/>
    <mergeCell ref="L26:L28"/>
    <mergeCell ref="N26:N28"/>
    <mergeCell ref="O26:O28"/>
    <mergeCell ref="P26:P28"/>
    <mergeCell ref="O20:O24"/>
    <mergeCell ref="P20:P24"/>
    <mergeCell ref="B26:B28"/>
    <mergeCell ref="C26:C28"/>
    <mergeCell ref="D26:D28"/>
    <mergeCell ref="E26:E28"/>
    <mergeCell ref="F26:F28"/>
    <mergeCell ref="G26:G28"/>
    <mergeCell ref="H26:H28"/>
    <mergeCell ref="I26:I28"/>
    <mergeCell ref="H20:H24"/>
    <mergeCell ref="I20:I24"/>
    <mergeCell ref="J20:J24"/>
    <mergeCell ref="K20:K24"/>
    <mergeCell ref="L20:L24"/>
    <mergeCell ref="N20:N24"/>
    <mergeCell ref="B20:B24"/>
    <mergeCell ref="C20:C24"/>
    <mergeCell ref="D20:D24"/>
    <mergeCell ref="E20:E24"/>
    <mergeCell ref="F20:F24"/>
    <mergeCell ref="G20:G24"/>
    <mergeCell ref="J38:J39"/>
    <mergeCell ref="K38:K39"/>
    <mergeCell ref="L38:L39"/>
    <mergeCell ref="N38:N39"/>
    <mergeCell ref="O38:O39"/>
    <mergeCell ref="P38:P39"/>
    <mergeCell ref="O31:O33"/>
    <mergeCell ref="P31:P33"/>
    <mergeCell ref="B38:B39"/>
    <mergeCell ref="C38:C39"/>
    <mergeCell ref="D38:D39"/>
    <mergeCell ref="E38:E39"/>
    <mergeCell ref="F38:F39"/>
    <mergeCell ref="G38:G39"/>
    <mergeCell ref="H38:H39"/>
    <mergeCell ref="I38:I39"/>
    <mergeCell ref="H31:H33"/>
    <mergeCell ref="I31:I33"/>
    <mergeCell ref="J31:J33"/>
    <mergeCell ref="K31:K33"/>
    <mergeCell ref="L31:L33"/>
    <mergeCell ref="N31:N33"/>
    <mergeCell ref="B31:B33"/>
    <mergeCell ref="C31:C33"/>
    <mergeCell ref="D31:D33"/>
    <mergeCell ref="E31:E33"/>
    <mergeCell ref="F31:F33"/>
    <mergeCell ref="G31:G33"/>
    <mergeCell ref="J56:J57"/>
    <mergeCell ref="K56:K57"/>
    <mergeCell ref="L56:L57"/>
    <mergeCell ref="N56:N57"/>
    <mergeCell ref="O56:O57"/>
    <mergeCell ref="P56:P57"/>
    <mergeCell ref="O41:O42"/>
    <mergeCell ref="P41:P42"/>
    <mergeCell ref="B56:B57"/>
    <mergeCell ref="C56:C57"/>
    <mergeCell ref="D56:D57"/>
    <mergeCell ref="E56:E57"/>
    <mergeCell ref="F56:F57"/>
    <mergeCell ref="G56:G57"/>
    <mergeCell ref="H56:H57"/>
    <mergeCell ref="I56:I57"/>
    <mergeCell ref="H41:H42"/>
    <mergeCell ref="I41:I42"/>
    <mergeCell ref="J41:J42"/>
    <mergeCell ref="K41:K42"/>
    <mergeCell ref="L41:L42"/>
    <mergeCell ref="N41:N42"/>
    <mergeCell ref="B41:B42"/>
    <mergeCell ref="C41:C42"/>
    <mergeCell ref="D41:D42"/>
    <mergeCell ref="E41:E42"/>
    <mergeCell ref="F41:F42"/>
    <mergeCell ref="G41:G42"/>
    <mergeCell ref="J62:J64"/>
    <mergeCell ref="K62:K64"/>
    <mergeCell ref="L62:L64"/>
    <mergeCell ref="N62:N64"/>
    <mergeCell ref="O62:O64"/>
    <mergeCell ref="P62:P64"/>
    <mergeCell ref="O59:O61"/>
    <mergeCell ref="P59:P61"/>
    <mergeCell ref="B62:B64"/>
    <mergeCell ref="C62:C64"/>
    <mergeCell ref="D62:D64"/>
    <mergeCell ref="E62:E64"/>
    <mergeCell ref="F62:F64"/>
    <mergeCell ref="G62:G64"/>
    <mergeCell ref="H62:H64"/>
    <mergeCell ref="I62:I64"/>
    <mergeCell ref="H59:H61"/>
    <mergeCell ref="I59:I61"/>
    <mergeCell ref="J59:J61"/>
    <mergeCell ref="K59:K61"/>
    <mergeCell ref="L59:L61"/>
    <mergeCell ref="N59:N61"/>
    <mergeCell ref="B59:B61"/>
    <mergeCell ref="C59:C61"/>
    <mergeCell ref="D59:D61"/>
    <mergeCell ref="E59:E61"/>
    <mergeCell ref="F59:F61"/>
    <mergeCell ref="G59:G61"/>
    <mergeCell ref="J67:J69"/>
    <mergeCell ref="K67:K69"/>
    <mergeCell ref="L67:L69"/>
    <mergeCell ref="N67:N69"/>
    <mergeCell ref="O67:O69"/>
    <mergeCell ref="P67:P69"/>
    <mergeCell ref="O65:O66"/>
    <mergeCell ref="P65:P66"/>
    <mergeCell ref="B67:B69"/>
    <mergeCell ref="C67:C69"/>
    <mergeCell ref="D67:D69"/>
    <mergeCell ref="E67:E69"/>
    <mergeCell ref="F67:F69"/>
    <mergeCell ref="G67:G69"/>
    <mergeCell ref="H67:H69"/>
    <mergeCell ref="I67:I69"/>
    <mergeCell ref="H65:H66"/>
    <mergeCell ref="I65:I66"/>
    <mergeCell ref="J65:J66"/>
    <mergeCell ref="K65:K66"/>
    <mergeCell ref="L65:L66"/>
    <mergeCell ref="N65:N66"/>
    <mergeCell ref="B65:B66"/>
    <mergeCell ref="C65:C66"/>
    <mergeCell ref="D65:D66"/>
    <mergeCell ref="E65:E66"/>
    <mergeCell ref="F65:F66"/>
    <mergeCell ref="G65:G66"/>
    <mergeCell ref="J73:J75"/>
    <mergeCell ref="K73:K75"/>
    <mergeCell ref="L73:L75"/>
    <mergeCell ref="N73:N75"/>
    <mergeCell ref="O73:O75"/>
    <mergeCell ref="P73:P75"/>
    <mergeCell ref="O70:O72"/>
    <mergeCell ref="P70:P72"/>
    <mergeCell ref="B73:B75"/>
    <mergeCell ref="C73:C75"/>
    <mergeCell ref="D73:D75"/>
    <mergeCell ref="E73:E75"/>
    <mergeCell ref="F73:F75"/>
    <mergeCell ref="G73:G75"/>
    <mergeCell ref="H73:H75"/>
    <mergeCell ref="I73:I75"/>
    <mergeCell ref="H70:H72"/>
    <mergeCell ref="I70:I72"/>
    <mergeCell ref="J70:J72"/>
    <mergeCell ref="K70:K72"/>
    <mergeCell ref="L70:L72"/>
    <mergeCell ref="N70:N72"/>
    <mergeCell ref="B70:B72"/>
    <mergeCell ref="C70:C72"/>
    <mergeCell ref="D70:D72"/>
    <mergeCell ref="E70:E72"/>
    <mergeCell ref="F70:F72"/>
    <mergeCell ref="G70:G72"/>
    <mergeCell ref="J78:J80"/>
    <mergeCell ref="K78:K80"/>
    <mergeCell ref="L78:L80"/>
    <mergeCell ref="N78:N80"/>
    <mergeCell ref="O78:O80"/>
    <mergeCell ref="P78:P80"/>
    <mergeCell ref="O76:O77"/>
    <mergeCell ref="P76:P77"/>
    <mergeCell ref="B78:B80"/>
    <mergeCell ref="C78:C80"/>
    <mergeCell ref="D78:D80"/>
    <mergeCell ref="E78:E80"/>
    <mergeCell ref="F78:F80"/>
    <mergeCell ref="G78:G80"/>
    <mergeCell ref="H78:H80"/>
    <mergeCell ref="I78:I80"/>
    <mergeCell ref="H76:H77"/>
    <mergeCell ref="I76:I77"/>
    <mergeCell ref="J76:J77"/>
    <mergeCell ref="K76:K77"/>
    <mergeCell ref="L76:L77"/>
    <mergeCell ref="N76:N77"/>
    <mergeCell ref="B76:B77"/>
    <mergeCell ref="C76:C77"/>
    <mergeCell ref="D76:D77"/>
    <mergeCell ref="E76:E77"/>
    <mergeCell ref="F76:F77"/>
    <mergeCell ref="G76:G77"/>
    <mergeCell ref="J92:J94"/>
    <mergeCell ref="K92:K94"/>
    <mergeCell ref="L92:L94"/>
    <mergeCell ref="N92:N94"/>
    <mergeCell ref="O92:O94"/>
    <mergeCell ref="P92:P94"/>
    <mergeCell ref="O84:O86"/>
    <mergeCell ref="P84:P86"/>
    <mergeCell ref="B92:B94"/>
    <mergeCell ref="C92:C94"/>
    <mergeCell ref="D92:D94"/>
    <mergeCell ref="E92:E94"/>
    <mergeCell ref="F92:F94"/>
    <mergeCell ref="G92:G94"/>
    <mergeCell ref="H92:H94"/>
    <mergeCell ref="I92:I94"/>
    <mergeCell ref="H84:H86"/>
    <mergeCell ref="I84:I86"/>
    <mergeCell ref="J84:J86"/>
    <mergeCell ref="K84:K86"/>
    <mergeCell ref="L84:L86"/>
    <mergeCell ref="N84:N86"/>
    <mergeCell ref="B84:B86"/>
    <mergeCell ref="C84:C86"/>
    <mergeCell ref="D84:D86"/>
    <mergeCell ref="E84:E86"/>
    <mergeCell ref="F84:F86"/>
    <mergeCell ref="G84:G86"/>
    <mergeCell ref="J103:J105"/>
    <mergeCell ref="K103:K105"/>
    <mergeCell ref="L103:L105"/>
    <mergeCell ref="N103:N105"/>
    <mergeCell ref="O103:O105"/>
    <mergeCell ref="P103:P105"/>
    <mergeCell ref="O96:O100"/>
    <mergeCell ref="P96:P100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H96:H100"/>
    <mergeCell ref="I96:I100"/>
    <mergeCell ref="J96:J100"/>
    <mergeCell ref="K96:K100"/>
    <mergeCell ref="L96:L100"/>
    <mergeCell ref="N96:N100"/>
    <mergeCell ref="B96:B100"/>
    <mergeCell ref="C96:C100"/>
    <mergeCell ref="D96:D100"/>
    <mergeCell ref="E96:E100"/>
    <mergeCell ref="F96:F100"/>
    <mergeCell ref="G96:G100"/>
    <mergeCell ref="J111:J113"/>
    <mergeCell ref="K111:K113"/>
    <mergeCell ref="L111:L113"/>
    <mergeCell ref="N111:N113"/>
    <mergeCell ref="O111:O113"/>
    <mergeCell ref="P111:P113"/>
    <mergeCell ref="O107:O109"/>
    <mergeCell ref="P107:P109"/>
    <mergeCell ref="B111:B113"/>
    <mergeCell ref="C111:C113"/>
    <mergeCell ref="D111:D113"/>
    <mergeCell ref="E111:E113"/>
    <mergeCell ref="F111:F113"/>
    <mergeCell ref="G111:G113"/>
    <mergeCell ref="H111:H113"/>
    <mergeCell ref="I111:I113"/>
    <mergeCell ref="H107:H109"/>
    <mergeCell ref="I107:I109"/>
    <mergeCell ref="J107:J109"/>
    <mergeCell ref="K107:K109"/>
    <mergeCell ref="L107:L109"/>
    <mergeCell ref="N107:N109"/>
    <mergeCell ref="B107:B109"/>
    <mergeCell ref="C107:C109"/>
    <mergeCell ref="D107:D109"/>
    <mergeCell ref="E107:E109"/>
    <mergeCell ref="F107:F109"/>
    <mergeCell ref="G107:G109"/>
    <mergeCell ref="J117:J118"/>
    <mergeCell ref="K117:K118"/>
    <mergeCell ref="L117:L118"/>
    <mergeCell ref="N117:N118"/>
    <mergeCell ref="O117:O118"/>
    <mergeCell ref="P117:P118"/>
    <mergeCell ref="O114:O116"/>
    <mergeCell ref="P114:P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H114:H116"/>
    <mergeCell ref="I114:I116"/>
    <mergeCell ref="J114:J116"/>
    <mergeCell ref="K114:K116"/>
    <mergeCell ref="L114:L116"/>
    <mergeCell ref="N114:N116"/>
    <mergeCell ref="B114:B116"/>
    <mergeCell ref="C114:C116"/>
    <mergeCell ref="D114:D116"/>
    <mergeCell ref="E114:E116"/>
    <mergeCell ref="F114:F116"/>
    <mergeCell ref="G114:G116"/>
    <mergeCell ref="J123:J125"/>
    <mergeCell ref="K123:K125"/>
    <mergeCell ref="L123:L125"/>
    <mergeCell ref="N123:N125"/>
    <mergeCell ref="O123:O125"/>
    <mergeCell ref="P123:P125"/>
    <mergeCell ref="O119:O120"/>
    <mergeCell ref="P119:P120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H119:H120"/>
    <mergeCell ref="I119:I120"/>
    <mergeCell ref="J119:J120"/>
    <mergeCell ref="K119:K120"/>
    <mergeCell ref="L119:L120"/>
    <mergeCell ref="N119:N120"/>
    <mergeCell ref="B119:B120"/>
    <mergeCell ref="C119:C120"/>
    <mergeCell ref="D119:D120"/>
    <mergeCell ref="E119:E120"/>
    <mergeCell ref="F119:F120"/>
    <mergeCell ref="G119:G120"/>
    <mergeCell ref="J137:J139"/>
    <mergeCell ref="K137:K139"/>
    <mergeCell ref="L137:L139"/>
    <mergeCell ref="N137:N139"/>
    <mergeCell ref="O137:O139"/>
    <mergeCell ref="P137:P139"/>
    <mergeCell ref="O130:O132"/>
    <mergeCell ref="P130:P132"/>
    <mergeCell ref="B137:B139"/>
    <mergeCell ref="C137:C139"/>
    <mergeCell ref="D137:D139"/>
    <mergeCell ref="E137:E139"/>
    <mergeCell ref="F137:F139"/>
    <mergeCell ref="G137:G139"/>
    <mergeCell ref="H137:H139"/>
    <mergeCell ref="I137:I139"/>
    <mergeCell ref="H130:H132"/>
    <mergeCell ref="I130:I132"/>
    <mergeCell ref="J130:J132"/>
    <mergeCell ref="K130:K132"/>
    <mergeCell ref="L130:L132"/>
    <mergeCell ref="N130:N132"/>
    <mergeCell ref="B130:B132"/>
    <mergeCell ref="C130:C132"/>
    <mergeCell ref="D130:D132"/>
    <mergeCell ref="E130:E132"/>
    <mergeCell ref="F130:F132"/>
    <mergeCell ref="G130:G132"/>
    <mergeCell ref="J189:J190"/>
    <mergeCell ref="K189:K190"/>
    <mergeCell ref="L189:L190"/>
    <mergeCell ref="N189:N190"/>
    <mergeCell ref="O189:O190"/>
    <mergeCell ref="P189:P190"/>
    <mergeCell ref="O146:O165"/>
    <mergeCell ref="P146:P165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H146:H165"/>
    <mergeCell ref="I146:I165"/>
    <mergeCell ref="J146:J165"/>
    <mergeCell ref="K146:K165"/>
    <mergeCell ref="L146:L165"/>
    <mergeCell ref="N146:N165"/>
    <mergeCell ref="B146:B165"/>
    <mergeCell ref="C146:C165"/>
    <mergeCell ref="D146:D165"/>
    <mergeCell ref="E146:E165"/>
    <mergeCell ref="F146:F165"/>
    <mergeCell ref="G146:G165"/>
    <mergeCell ref="J197:J200"/>
    <mergeCell ref="K197:K200"/>
    <mergeCell ref="L197:L200"/>
    <mergeCell ref="N197:N200"/>
    <mergeCell ref="O197:O200"/>
    <mergeCell ref="P197:P200"/>
    <mergeCell ref="O191:O194"/>
    <mergeCell ref="P191:P194"/>
    <mergeCell ref="B197:B200"/>
    <mergeCell ref="C197:C200"/>
    <mergeCell ref="D197:D200"/>
    <mergeCell ref="E197:E200"/>
    <mergeCell ref="F197:F200"/>
    <mergeCell ref="G197:G200"/>
    <mergeCell ref="H197:H200"/>
    <mergeCell ref="I197:I200"/>
    <mergeCell ref="H191:H194"/>
    <mergeCell ref="I191:I194"/>
    <mergeCell ref="J191:J194"/>
    <mergeCell ref="K191:K194"/>
    <mergeCell ref="L191:L194"/>
    <mergeCell ref="N191:N194"/>
    <mergeCell ref="B191:B194"/>
    <mergeCell ref="C191:C194"/>
    <mergeCell ref="D191:D194"/>
    <mergeCell ref="E191:E194"/>
    <mergeCell ref="F191:F194"/>
    <mergeCell ref="G191:G194"/>
    <mergeCell ref="J209:J211"/>
    <mergeCell ref="K209:K211"/>
    <mergeCell ref="L209:L211"/>
    <mergeCell ref="N209:N211"/>
    <mergeCell ref="O209:O211"/>
    <mergeCell ref="P209:P211"/>
    <mergeCell ref="O203:O205"/>
    <mergeCell ref="P203:P205"/>
    <mergeCell ref="B209:B211"/>
    <mergeCell ref="C209:C211"/>
    <mergeCell ref="D209:D211"/>
    <mergeCell ref="E209:E211"/>
    <mergeCell ref="F209:F211"/>
    <mergeCell ref="G209:G211"/>
    <mergeCell ref="H209:H211"/>
    <mergeCell ref="I209:I211"/>
    <mergeCell ref="H203:H205"/>
    <mergeCell ref="I203:I205"/>
    <mergeCell ref="J203:J205"/>
    <mergeCell ref="K203:K205"/>
    <mergeCell ref="L203:L205"/>
    <mergeCell ref="N203:N205"/>
    <mergeCell ref="B203:B205"/>
    <mergeCell ref="C203:C205"/>
    <mergeCell ref="D203:D205"/>
    <mergeCell ref="E203:E205"/>
    <mergeCell ref="F203:F205"/>
    <mergeCell ref="G203:G205"/>
    <mergeCell ref="J215:J217"/>
    <mergeCell ref="K215:K217"/>
    <mergeCell ref="L215:L217"/>
    <mergeCell ref="N215:N217"/>
    <mergeCell ref="O215:O217"/>
    <mergeCell ref="P215:P217"/>
    <mergeCell ref="O213:O214"/>
    <mergeCell ref="P213:P214"/>
    <mergeCell ref="B215:B217"/>
    <mergeCell ref="C215:C217"/>
    <mergeCell ref="D215:D217"/>
    <mergeCell ref="E215:E217"/>
    <mergeCell ref="F215:F217"/>
    <mergeCell ref="G215:G217"/>
    <mergeCell ref="H215:H217"/>
    <mergeCell ref="I215:I217"/>
    <mergeCell ref="H213:H214"/>
    <mergeCell ref="I213:I214"/>
    <mergeCell ref="J213:J214"/>
    <mergeCell ref="K213:K214"/>
    <mergeCell ref="L213:L214"/>
    <mergeCell ref="N213:N214"/>
    <mergeCell ref="B213:B214"/>
    <mergeCell ref="C213:C214"/>
    <mergeCell ref="D213:D214"/>
    <mergeCell ref="E213:E214"/>
    <mergeCell ref="F213:F214"/>
    <mergeCell ref="G213:G214"/>
    <mergeCell ref="J222:J224"/>
    <mergeCell ref="K222:K224"/>
    <mergeCell ref="L222:L224"/>
    <mergeCell ref="N222:N224"/>
    <mergeCell ref="O222:O224"/>
    <mergeCell ref="P222:P224"/>
    <mergeCell ref="O218:O220"/>
    <mergeCell ref="P218:P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H218:H220"/>
    <mergeCell ref="I218:I220"/>
    <mergeCell ref="J218:J220"/>
    <mergeCell ref="K218:K220"/>
    <mergeCell ref="L218:L220"/>
    <mergeCell ref="N218:N220"/>
    <mergeCell ref="B218:B220"/>
    <mergeCell ref="C218:C220"/>
    <mergeCell ref="D218:D220"/>
    <mergeCell ref="E218:E220"/>
    <mergeCell ref="F218:F220"/>
    <mergeCell ref="G218:G220"/>
    <mergeCell ref="J229:J230"/>
    <mergeCell ref="K229:K230"/>
    <mergeCell ref="L229:L230"/>
    <mergeCell ref="N229:N230"/>
    <mergeCell ref="O229:O230"/>
    <mergeCell ref="P229:P230"/>
    <mergeCell ref="O226:O228"/>
    <mergeCell ref="P226:P228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H226:H228"/>
    <mergeCell ref="I226:I228"/>
    <mergeCell ref="J226:J228"/>
    <mergeCell ref="K226:K228"/>
    <mergeCell ref="L226:L228"/>
    <mergeCell ref="N226:N228"/>
    <mergeCell ref="B226:B228"/>
    <mergeCell ref="C226:C228"/>
    <mergeCell ref="D226:D228"/>
    <mergeCell ref="E226:E228"/>
    <mergeCell ref="F226:F228"/>
    <mergeCell ref="G226:G228"/>
    <mergeCell ref="J236:J238"/>
    <mergeCell ref="K236:K238"/>
    <mergeCell ref="L236:L238"/>
    <mergeCell ref="N236:N238"/>
    <mergeCell ref="O236:O238"/>
    <mergeCell ref="P236:P238"/>
    <mergeCell ref="O232:O235"/>
    <mergeCell ref="P232:P235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H232:H235"/>
    <mergeCell ref="I232:I235"/>
    <mergeCell ref="J232:J235"/>
    <mergeCell ref="K232:K235"/>
    <mergeCell ref="L232:L235"/>
    <mergeCell ref="N232:N235"/>
    <mergeCell ref="B232:B235"/>
    <mergeCell ref="C232:C235"/>
    <mergeCell ref="D232:D235"/>
    <mergeCell ref="E232:E235"/>
    <mergeCell ref="F232:F235"/>
    <mergeCell ref="G232:G235"/>
    <mergeCell ref="J249:J251"/>
    <mergeCell ref="K249:K251"/>
    <mergeCell ref="L249:L251"/>
    <mergeCell ref="N249:N251"/>
    <mergeCell ref="O249:O251"/>
    <mergeCell ref="P249:P251"/>
    <mergeCell ref="O239:O241"/>
    <mergeCell ref="P239:P241"/>
    <mergeCell ref="B249:B251"/>
    <mergeCell ref="C249:C251"/>
    <mergeCell ref="D249:D251"/>
    <mergeCell ref="E249:E251"/>
    <mergeCell ref="F249:F251"/>
    <mergeCell ref="G249:G251"/>
    <mergeCell ref="H249:H251"/>
    <mergeCell ref="I249:I251"/>
    <mergeCell ref="H239:H241"/>
    <mergeCell ref="I239:I241"/>
    <mergeCell ref="J239:J241"/>
    <mergeCell ref="K239:K241"/>
    <mergeCell ref="L239:L241"/>
    <mergeCell ref="N239:N241"/>
    <mergeCell ref="B239:B241"/>
    <mergeCell ref="C239:C241"/>
    <mergeCell ref="D239:D241"/>
    <mergeCell ref="E239:E241"/>
    <mergeCell ref="F239:F241"/>
    <mergeCell ref="G239:G241"/>
    <mergeCell ref="J261:J264"/>
    <mergeCell ref="K261:K264"/>
    <mergeCell ref="L261:L264"/>
    <mergeCell ref="N261:N264"/>
    <mergeCell ref="O261:O264"/>
    <mergeCell ref="P261:P264"/>
    <mergeCell ref="O256:O257"/>
    <mergeCell ref="P256:P257"/>
    <mergeCell ref="B261:B264"/>
    <mergeCell ref="C261:C264"/>
    <mergeCell ref="D261:D264"/>
    <mergeCell ref="E261:E264"/>
    <mergeCell ref="F261:F264"/>
    <mergeCell ref="G261:G264"/>
    <mergeCell ref="H261:H264"/>
    <mergeCell ref="I261:I264"/>
    <mergeCell ref="H256:H257"/>
    <mergeCell ref="I256:I257"/>
    <mergeCell ref="J256:J257"/>
    <mergeCell ref="K256:K257"/>
    <mergeCell ref="L256:L257"/>
    <mergeCell ref="N256:N257"/>
    <mergeCell ref="B256:B257"/>
    <mergeCell ref="C256:C257"/>
    <mergeCell ref="D256:D257"/>
    <mergeCell ref="E256:E257"/>
    <mergeCell ref="F256:F257"/>
    <mergeCell ref="G256:G257"/>
    <mergeCell ref="J272:J276"/>
    <mergeCell ref="K272:K276"/>
    <mergeCell ref="L272:L276"/>
    <mergeCell ref="N272:N276"/>
    <mergeCell ref="O272:O276"/>
    <mergeCell ref="P272:P276"/>
    <mergeCell ref="O269:O271"/>
    <mergeCell ref="P269:P271"/>
    <mergeCell ref="B272:B276"/>
    <mergeCell ref="C272:C276"/>
    <mergeCell ref="D272:D276"/>
    <mergeCell ref="E272:E276"/>
    <mergeCell ref="F272:F276"/>
    <mergeCell ref="G272:G276"/>
    <mergeCell ref="H272:H276"/>
    <mergeCell ref="I272:I276"/>
    <mergeCell ref="H269:H271"/>
    <mergeCell ref="I269:I271"/>
    <mergeCell ref="J269:J271"/>
    <mergeCell ref="K269:K271"/>
    <mergeCell ref="L269:L271"/>
    <mergeCell ref="N269:N271"/>
    <mergeCell ref="B269:B271"/>
    <mergeCell ref="C269:C271"/>
    <mergeCell ref="D269:D271"/>
    <mergeCell ref="E269:E271"/>
    <mergeCell ref="F269:F271"/>
    <mergeCell ref="G269:G271"/>
    <mergeCell ref="J298:J300"/>
    <mergeCell ref="K298:K300"/>
    <mergeCell ref="L298:L300"/>
    <mergeCell ref="N298:N300"/>
    <mergeCell ref="O298:O300"/>
    <mergeCell ref="P298:P300"/>
    <mergeCell ref="O278:O280"/>
    <mergeCell ref="P278:P280"/>
    <mergeCell ref="B298:B300"/>
    <mergeCell ref="C298:C300"/>
    <mergeCell ref="D298:D300"/>
    <mergeCell ref="E298:E300"/>
    <mergeCell ref="F298:F300"/>
    <mergeCell ref="G298:G300"/>
    <mergeCell ref="H298:H300"/>
    <mergeCell ref="I298:I300"/>
    <mergeCell ref="H278:H280"/>
    <mergeCell ref="I278:I280"/>
    <mergeCell ref="J278:J280"/>
    <mergeCell ref="K278:K280"/>
    <mergeCell ref="L278:L280"/>
    <mergeCell ref="N278:N280"/>
    <mergeCell ref="B278:B280"/>
    <mergeCell ref="C278:C280"/>
    <mergeCell ref="D278:D280"/>
    <mergeCell ref="E278:E280"/>
    <mergeCell ref="F278:F280"/>
    <mergeCell ref="G278:G280"/>
    <mergeCell ref="J307:J309"/>
    <mergeCell ref="K307:K309"/>
    <mergeCell ref="L307:L309"/>
    <mergeCell ref="N307:N309"/>
    <mergeCell ref="O307:O309"/>
    <mergeCell ref="P307:P309"/>
    <mergeCell ref="O305:O306"/>
    <mergeCell ref="P305:P306"/>
    <mergeCell ref="B307:B309"/>
    <mergeCell ref="C307:C309"/>
    <mergeCell ref="D307:D309"/>
    <mergeCell ref="E307:E309"/>
    <mergeCell ref="F307:F309"/>
    <mergeCell ref="G307:G309"/>
    <mergeCell ref="H307:H309"/>
    <mergeCell ref="I307:I309"/>
    <mergeCell ref="H305:H306"/>
    <mergeCell ref="I305:I306"/>
    <mergeCell ref="J305:J306"/>
    <mergeCell ref="K305:K306"/>
    <mergeCell ref="L305:L306"/>
    <mergeCell ref="N305:N306"/>
    <mergeCell ref="B305:B306"/>
    <mergeCell ref="C305:C306"/>
    <mergeCell ref="D305:D306"/>
    <mergeCell ref="E305:E306"/>
    <mergeCell ref="F305:F306"/>
    <mergeCell ref="G305:G306"/>
    <mergeCell ref="J321:J322"/>
    <mergeCell ref="K321:K322"/>
    <mergeCell ref="L321:L322"/>
    <mergeCell ref="N321:N322"/>
    <mergeCell ref="O321:O322"/>
    <mergeCell ref="P321:P322"/>
    <mergeCell ref="O313:O314"/>
    <mergeCell ref="P313:P314"/>
    <mergeCell ref="B321:B322"/>
    <mergeCell ref="C321:C322"/>
    <mergeCell ref="D321:D322"/>
    <mergeCell ref="E321:E322"/>
    <mergeCell ref="F321:F322"/>
    <mergeCell ref="G321:G322"/>
    <mergeCell ref="H321:H322"/>
    <mergeCell ref="I321:I322"/>
    <mergeCell ref="H313:H314"/>
    <mergeCell ref="I313:I314"/>
    <mergeCell ref="J313:J314"/>
    <mergeCell ref="K313:K314"/>
    <mergeCell ref="L313:L314"/>
    <mergeCell ref="N313:N314"/>
    <mergeCell ref="B313:B314"/>
    <mergeCell ref="C313:C314"/>
    <mergeCell ref="D313:D314"/>
    <mergeCell ref="E313:E314"/>
    <mergeCell ref="F313:F314"/>
    <mergeCell ref="G313:G314"/>
    <mergeCell ref="J328:J330"/>
    <mergeCell ref="K328:K330"/>
    <mergeCell ref="L328:L330"/>
    <mergeCell ref="N328:N330"/>
    <mergeCell ref="O328:O330"/>
    <mergeCell ref="P328:P330"/>
    <mergeCell ref="O323:O325"/>
    <mergeCell ref="P323:P325"/>
    <mergeCell ref="B328:B330"/>
    <mergeCell ref="C328:C330"/>
    <mergeCell ref="D328:D330"/>
    <mergeCell ref="E328:E330"/>
    <mergeCell ref="F328:F330"/>
    <mergeCell ref="G328:G330"/>
    <mergeCell ref="H328:H330"/>
    <mergeCell ref="I328:I330"/>
    <mergeCell ref="H323:H325"/>
    <mergeCell ref="I323:I325"/>
    <mergeCell ref="J323:J325"/>
    <mergeCell ref="K323:K325"/>
    <mergeCell ref="L323:L325"/>
    <mergeCell ref="N323:N325"/>
    <mergeCell ref="B323:B325"/>
    <mergeCell ref="C323:C325"/>
    <mergeCell ref="D323:D325"/>
    <mergeCell ref="E323:E325"/>
    <mergeCell ref="F323:F325"/>
    <mergeCell ref="G323:G325"/>
    <mergeCell ref="J336:J338"/>
    <mergeCell ref="K336:K338"/>
    <mergeCell ref="L336:L338"/>
    <mergeCell ref="N336:N338"/>
    <mergeCell ref="O336:O338"/>
    <mergeCell ref="P336:P338"/>
    <mergeCell ref="O332:O334"/>
    <mergeCell ref="P332:P334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H332:H334"/>
    <mergeCell ref="I332:I334"/>
    <mergeCell ref="J332:J334"/>
    <mergeCell ref="K332:K334"/>
    <mergeCell ref="L332:L334"/>
    <mergeCell ref="N332:N334"/>
    <mergeCell ref="B332:B334"/>
    <mergeCell ref="C332:C334"/>
    <mergeCell ref="D332:D334"/>
    <mergeCell ref="E332:E334"/>
    <mergeCell ref="F332:F334"/>
    <mergeCell ref="G332:G334"/>
    <mergeCell ref="J347:J348"/>
    <mergeCell ref="K347:K348"/>
    <mergeCell ref="L347:L348"/>
    <mergeCell ref="N347:N348"/>
    <mergeCell ref="O347:O348"/>
    <mergeCell ref="P347:P348"/>
    <mergeCell ref="O339:O340"/>
    <mergeCell ref="P339:P340"/>
    <mergeCell ref="B347:B348"/>
    <mergeCell ref="C347:C348"/>
    <mergeCell ref="D347:D348"/>
    <mergeCell ref="E347:E348"/>
    <mergeCell ref="F347:F348"/>
    <mergeCell ref="G347:G348"/>
    <mergeCell ref="H347:H348"/>
    <mergeCell ref="I347:I348"/>
    <mergeCell ref="H339:H340"/>
    <mergeCell ref="I339:I340"/>
    <mergeCell ref="J339:J340"/>
    <mergeCell ref="K339:K340"/>
    <mergeCell ref="L339:L340"/>
    <mergeCell ref="N339:N340"/>
    <mergeCell ref="B339:B340"/>
    <mergeCell ref="C339:C340"/>
    <mergeCell ref="D339:D340"/>
    <mergeCell ref="E339:E340"/>
    <mergeCell ref="F339:F340"/>
    <mergeCell ref="G339:G340"/>
    <mergeCell ref="J356:J358"/>
    <mergeCell ref="K356:K358"/>
    <mergeCell ref="L356:L358"/>
    <mergeCell ref="N356:N358"/>
    <mergeCell ref="O356:O358"/>
    <mergeCell ref="P356:P358"/>
    <mergeCell ref="O352:O354"/>
    <mergeCell ref="P352:P354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H352:H354"/>
    <mergeCell ref="I352:I354"/>
    <mergeCell ref="J352:J354"/>
    <mergeCell ref="K352:K354"/>
    <mergeCell ref="L352:L354"/>
    <mergeCell ref="N352:N354"/>
    <mergeCell ref="B352:B354"/>
    <mergeCell ref="C352:C354"/>
    <mergeCell ref="D352:D354"/>
    <mergeCell ref="E352:E354"/>
    <mergeCell ref="F352:F354"/>
    <mergeCell ref="G352:G354"/>
    <mergeCell ref="J361:J362"/>
    <mergeCell ref="K361:K362"/>
    <mergeCell ref="L361:L362"/>
    <mergeCell ref="N361:N362"/>
    <mergeCell ref="O361:O362"/>
    <mergeCell ref="P361:P362"/>
    <mergeCell ref="O359:O360"/>
    <mergeCell ref="P359:P360"/>
    <mergeCell ref="B361:B362"/>
    <mergeCell ref="C361:C362"/>
    <mergeCell ref="D361:D362"/>
    <mergeCell ref="E361:E362"/>
    <mergeCell ref="F361:F362"/>
    <mergeCell ref="G361:G362"/>
    <mergeCell ref="H361:H362"/>
    <mergeCell ref="I361:I362"/>
    <mergeCell ref="H359:H360"/>
    <mergeCell ref="I359:I360"/>
    <mergeCell ref="J359:J360"/>
    <mergeCell ref="K359:K360"/>
    <mergeCell ref="L359:L360"/>
    <mergeCell ref="N359:N360"/>
    <mergeCell ref="B359:B360"/>
    <mergeCell ref="C359:C360"/>
    <mergeCell ref="D359:D360"/>
    <mergeCell ref="E359:E360"/>
    <mergeCell ref="F359:F360"/>
    <mergeCell ref="G359:G360"/>
    <mergeCell ref="J368:J371"/>
    <mergeCell ref="K368:K371"/>
    <mergeCell ref="L368:L371"/>
    <mergeCell ref="N368:N371"/>
    <mergeCell ref="O368:O371"/>
    <mergeCell ref="P368:P371"/>
    <mergeCell ref="O363:O365"/>
    <mergeCell ref="P363:P365"/>
    <mergeCell ref="B368:B371"/>
    <mergeCell ref="C368:C371"/>
    <mergeCell ref="D368:D371"/>
    <mergeCell ref="E368:E371"/>
    <mergeCell ref="F368:F371"/>
    <mergeCell ref="G368:G371"/>
    <mergeCell ref="H368:H371"/>
    <mergeCell ref="I368:I371"/>
    <mergeCell ref="H363:H365"/>
    <mergeCell ref="I363:I365"/>
    <mergeCell ref="J363:J365"/>
    <mergeCell ref="K363:K365"/>
    <mergeCell ref="L363:L365"/>
    <mergeCell ref="N363:N365"/>
    <mergeCell ref="B363:B365"/>
    <mergeCell ref="C363:C365"/>
    <mergeCell ref="D363:D365"/>
    <mergeCell ref="E363:E365"/>
    <mergeCell ref="F363:F365"/>
    <mergeCell ref="G363:G365"/>
    <mergeCell ref="J377:J379"/>
    <mergeCell ref="K377:K379"/>
    <mergeCell ref="L377:L379"/>
    <mergeCell ref="N377:N379"/>
    <mergeCell ref="O377:O379"/>
    <mergeCell ref="P377:P379"/>
    <mergeCell ref="O374:O375"/>
    <mergeCell ref="P374:P375"/>
    <mergeCell ref="B377:B379"/>
    <mergeCell ref="C377:C379"/>
    <mergeCell ref="D377:D379"/>
    <mergeCell ref="E377:E379"/>
    <mergeCell ref="F377:F379"/>
    <mergeCell ref="G377:G379"/>
    <mergeCell ref="H377:H379"/>
    <mergeCell ref="I377:I379"/>
    <mergeCell ref="H374:H375"/>
    <mergeCell ref="I374:I375"/>
    <mergeCell ref="J374:J375"/>
    <mergeCell ref="K374:K375"/>
    <mergeCell ref="L374:L375"/>
    <mergeCell ref="N374:N375"/>
    <mergeCell ref="B374:B375"/>
    <mergeCell ref="C374:C375"/>
    <mergeCell ref="D374:D375"/>
    <mergeCell ref="E374:E375"/>
    <mergeCell ref="F374:F375"/>
    <mergeCell ref="G374:G375"/>
    <mergeCell ref="J390:J391"/>
    <mergeCell ref="K390:K391"/>
    <mergeCell ref="L390:L391"/>
    <mergeCell ref="N390:N391"/>
    <mergeCell ref="O390:O391"/>
    <mergeCell ref="P390:P391"/>
    <mergeCell ref="O386:O388"/>
    <mergeCell ref="P386:P388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H386:H388"/>
    <mergeCell ref="I386:I388"/>
    <mergeCell ref="J386:J388"/>
    <mergeCell ref="K386:K388"/>
    <mergeCell ref="L386:L388"/>
    <mergeCell ref="N386:N388"/>
    <mergeCell ref="B386:B388"/>
    <mergeCell ref="C386:C388"/>
    <mergeCell ref="D386:D388"/>
    <mergeCell ref="E386:E388"/>
    <mergeCell ref="F386:F388"/>
    <mergeCell ref="G386:G388"/>
    <mergeCell ref="J396:J397"/>
    <mergeCell ref="K396:K397"/>
    <mergeCell ref="L396:L397"/>
    <mergeCell ref="N396:N397"/>
    <mergeCell ref="O396:O397"/>
    <mergeCell ref="P396:P397"/>
    <mergeCell ref="O392:O395"/>
    <mergeCell ref="P392:P395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H392:H395"/>
    <mergeCell ref="I392:I395"/>
    <mergeCell ref="J392:J395"/>
    <mergeCell ref="K392:K395"/>
    <mergeCell ref="L392:L395"/>
    <mergeCell ref="N392:N395"/>
    <mergeCell ref="B392:B395"/>
    <mergeCell ref="C392:C395"/>
    <mergeCell ref="D392:D395"/>
    <mergeCell ref="E392:E395"/>
    <mergeCell ref="F392:F395"/>
    <mergeCell ref="G392:G395"/>
    <mergeCell ref="J403:J405"/>
    <mergeCell ref="K403:K405"/>
    <mergeCell ref="L403:L405"/>
    <mergeCell ref="N403:N405"/>
    <mergeCell ref="O403:O405"/>
    <mergeCell ref="P403:P405"/>
    <mergeCell ref="O399:O401"/>
    <mergeCell ref="P399:P401"/>
    <mergeCell ref="B403:B405"/>
    <mergeCell ref="C403:C405"/>
    <mergeCell ref="D403:D405"/>
    <mergeCell ref="E403:E405"/>
    <mergeCell ref="F403:F405"/>
    <mergeCell ref="G403:G405"/>
    <mergeCell ref="H403:H405"/>
    <mergeCell ref="I403:I405"/>
    <mergeCell ref="H399:H401"/>
    <mergeCell ref="I399:I401"/>
    <mergeCell ref="J399:J401"/>
    <mergeCell ref="K399:K401"/>
    <mergeCell ref="L399:L401"/>
    <mergeCell ref="N399:N401"/>
    <mergeCell ref="B399:B401"/>
    <mergeCell ref="C399:C401"/>
    <mergeCell ref="D399:D401"/>
    <mergeCell ref="E399:E401"/>
    <mergeCell ref="F399:F401"/>
    <mergeCell ref="G399:G401"/>
    <mergeCell ref="J427:J428"/>
    <mergeCell ref="K427:K428"/>
    <mergeCell ref="L427:L428"/>
    <mergeCell ref="M427:M428"/>
    <mergeCell ref="N427:N428"/>
    <mergeCell ref="O427:O428"/>
    <mergeCell ref="N407:N409"/>
    <mergeCell ref="O407:O409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H407:H409"/>
    <mergeCell ref="I407:I409"/>
    <mergeCell ref="J407:J409"/>
    <mergeCell ref="K407:K409"/>
    <mergeCell ref="L407:L409"/>
    <mergeCell ref="M407:M409"/>
    <mergeCell ref="B407:B409"/>
    <mergeCell ref="C407:C409"/>
    <mergeCell ref="D407:D409"/>
    <mergeCell ref="E407:E409"/>
    <mergeCell ref="F407:F409"/>
    <mergeCell ref="G407:G409"/>
    <mergeCell ref="J471:J472"/>
    <mergeCell ref="K471:K472"/>
    <mergeCell ref="L471:L472"/>
    <mergeCell ref="M471:M472"/>
    <mergeCell ref="N471:N472"/>
    <mergeCell ref="O471:O472"/>
    <mergeCell ref="N436:N437"/>
    <mergeCell ref="O436:O437"/>
    <mergeCell ref="B471:B472"/>
    <mergeCell ref="C471:C472"/>
    <mergeCell ref="D471:D472"/>
    <mergeCell ref="E471:E472"/>
    <mergeCell ref="F471:F472"/>
    <mergeCell ref="G471:G472"/>
    <mergeCell ref="H471:H472"/>
    <mergeCell ref="I471:I472"/>
    <mergeCell ref="H436:H437"/>
    <mergeCell ref="I436:I437"/>
    <mergeCell ref="J436:J437"/>
    <mergeCell ref="K436:K437"/>
    <mergeCell ref="L436:L437"/>
    <mergeCell ref="M436:M437"/>
    <mergeCell ref="B436:B437"/>
    <mergeCell ref="C436:C437"/>
    <mergeCell ref="D436:D437"/>
    <mergeCell ref="E436:E437"/>
    <mergeCell ref="F436:F437"/>
    <mergeCell ref="G436:G437"/>
    <mergeCell ref="J521:J525"/>
    <mergeCell ref="K521:K525"/>
    <mergeCell ref="L521:L525"/>
    <mergeCell ref="M521:M525"/>
    <mergeCell ref="N521:N525"/>
    <mergeCell ref="O521:O525"/>
    <mergeCell ref="N512:N520"/>
    <mergeCell ref="O512:O520"/>
    <mergeCell ref="B521:B525"/>
    <mergeCell ref="C521:C525"/>
    <mergeCell ref="D521:D525"/>
    <mergeCell ref="E521:E525"/>
    <mergeCell ref="F521:F525"/>
    <mergeCell ref="G521:G525"/>
    <mergeCell ref="H521:H525"/>
    <mergeCell ref="I521:I525"/>
    <mergeCell ref="H512:H520"/>
    <mergeCell ref="I512:I520"/>
    <mergeCell ref="J512:J520"/>
    <mergeCell ref="K512:K520"/>
    <mergeCell ref="L512:L520"/>
    <mergeCell ref="M512:M520"/>
    <mergeCell ref="B512:B520"/>
    <mergeCell ref="C512:C520"/>
    <mergeCell ref="D512:D520"/>
    <mergeCell ref="E512:E520"/>
    <mergeCell ref="F512:F520"/>
    <mergeCell ref="G512:G520"/>
    <mergeCell ref="J603:J604"/>
    <mergeCell ref="K603:K604"/>
    <mergeCell ref="L603:L604"/>
    <mergeCell ref="M603:M604"/>
    <mergeCell ref="N603:N604"/>
    <mergeCell ref="O603:O604"/>
    <mergeCell ref="N545:N546"/>
    <mergeCell ref="O545:O546"/>
    <mergeCell ref="B603:B604"/>
    <mergeCell ref="C603:C604"/>
    <mergeCell ref="D603:D604"/>
    <mergeCell ref="E603:E604"/>
    <mergeCell ref="F603:F604"/>
    <mergeCell ref="G603:G604"/>
    <mergeCell ref="H603:H604"/>
    <mergeCell ref="I603:I604"/>
    <mergeCell ref="H545:H546"/>
    <mergeCell ref="I545:I546"/>
    <mergeCell ref="J545:J546"/>
    <mergeCell ref="K545:K546"/>
    <mergeCell ref="L545:L546"/>
    <mergeCell ref="M545:M546"/>
    <mergeCell ref="B545:B546"/>
    <mergeCell ref="C545:C546"/>
    <mergeCell ref="D545:D546"/>
    <mergeCell ref="E545:E546"/>
    <mergeCell ref="F545:F546"/>
    <mergeCell ref="G545:G546"/>
    <mergeCell ref="J634:J639"/>
    <mergeCell ref="K634:K639"/>
    <mergeCell ref="L634:L639"/>
    <mergeCell ref="M634:M639"/>
    <mergeCell ref="N634:N639"/>
    <mergeCell ref="O634:O639"/>
    <mergeCell ref="N611:N619"/>
    <mergeCell ref="O611:O619"/>
    <mergeCell ref="B634:B639"/>
    <mergeCell ref="C634:C639"/>
    <mergeCell ref="D634:D639"/>
    <mergeCell ref="E634:E639"/>
    <mergeCell ref="F634:F639"/>
    <mergeCell ref="G634:G639"/>
    <mergeCell ref="H634:H639"/>
    <mergeCell ref="I634:I639"/>
    <mergeCell ref="H611:H619"/>
    <mergeCell ref="I611:I619"/>
    <mergeCell ref="J611:J619"/>
    <mergeCell ref="K611:K619"/>
    <mergeCell ref="L611:L619"/>
    <mergeCell ref="M611:M619"/>
    <mergeCell ref="B611:B619"/>
    <mergeCell ref="C611:C619"/>
    <mergeCell ref="D611:D619"/>
    <mergeCell ref="E611:E619"/>
    <mergeCell ref="F611:F619"/>
    <mergeCell ref="G611:G619"/>
    <mergeCell ref="J647:J648"/>
    <mergeCell ref="K647:K648"/>
    <mergeCell ref="L647:L648"/>
    <mergeCell ref="M647:M648"/>
    <mergeCell ref="N647:N648"/>
    <mergeCell ref="O647:O648"/>
    <mergeCell ref="N644:N646"/>
    <mergeCell ref="O644:O646"/>
    <mergeCell ref="B647:B648"/>
    <mergeCell ref="C647:C648"/>
    <mergeCell ref="D647:D648"/>
    <mergeCell ref="E647:E648"/>
    <mergeCell ref="F647:F648"/>
    <mergeCell ref="G647:G648"/>
    <mergeCell ref="H647:H648"/>
    <mergeCell ref="I647:I648"/>
    <mergeCell ref="H644:H646"/>
    <mergeCell ref="I644:I646"/>
    <mergeCell ref="J644:J646"/>
    <mergeCell ref="K644:K646"/>
    <mergeCell ref="L644:L646"/>
    <mergeCell ref="M644:M646"/>
    <mergeCell ref="B644:B646"/>
    <mergeCell ref="C644:C646"/>
    <mergeCell ref="D644:D646"/>
    <mergeCell ref="E644:E646"/>
    <mergeCell ref="F644:F646"/>
    <mergeCell ref="G644:G646"/>
    <mergeCell ref="J653:J655"/>
    <mergeCell ref="K653:K655"/>
    <mergeCell ref="L653:L655"/>
    <mergeCell ref="M653:M655"/>
    <mergeCell ref="N653:N655"/>
    <mergeCell ref="O653:O655"/>
    <mergeCell ref="N649:N650"/>
    <mergeCell ref="O649:O650"/>
    <mergeCell ref="B653:B655"/>
    <mergeCell ref="C653:C655"/>
    <mergeCell ref="D653:D655"/>
    <mergeCell ref="E653:E655"/>
    <mergeCell ref="F653:F655"/>
    <mergeCell ref="G653:G655"/>
    <mergeCell ref="H653:H655"/>
    <mergeCell ref="I653:I655"/>
    <mergeCell ref="H649:H650"/>
    <mergeCell ref="I649:I650"/>
    <mergeCell ref="J649:J650"/>
    <mergeCell ref="K649:K650"/>
    <mergeCell ref="L649:L650"/>
    <mergeCell ref="M649:M650"/>
    <mergeCell ref="B649:B650"/>
    <mergeCell ref="C649:C650"/>
    <mergeCell ref="D649:D650"/>
    <mergeCell ref="E649:E650"/>
    <mergeCell ref="F649:F650"/>
    <mergeCell ref="G649:G650"/>
    <mergeCell ref="J664:J665"/>
    <mergeCell ref="K664:K665"/>
    <mergeCell ref="L664:L665"/>
    <mergeCell ref="M664:M665"/>
    <mergeCell ref="N664:N665"/>
    <mergeCell ref="O664:O665"/>
    <mergeCell ref="N660:N661"/>
    <mergeCell ref="O660:O661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H660:H661"/>
    <mergeCell ref="I660:I661"/>
    <mergeCell ref="J660:J661"/>
    <mergeCell ref="K660:K661"/>
    <mergeCell ref="L660:L661"/>
    <mergeCell ref="M660:M661"/>
    <mergeCell ref="B660:B661"/>
    <mergeCell ref="C660:C661"/>
    <mergeCell ref="D660:D661"/>
    <mergeCell ref="E660:E661"/>
    <mergeCell ref="F660:F661"/>
    <mergeCell ref="G660:G661"/>
    <mergeCell ref="J679:J692"/>
    <mergeCell ref="K679:K692"/>
    <mergeCell ref="L679:L692"/>
    <mergeCell ref="M679:M692"/>
    <mergeCell ref="N679:N692"/>
    <mergeCell ref="O679:O692"/>
    <mergeCell ref="N672:N678"/>
    <mergeCell ref="O672:O678"/>
    <mergeCell ref="B679:B692"/>
    <mergeCell ref="C679:C692"/>
    <mergeCell ref="D679:D692"/>
    <mergeCell ref="E679:E692"/>
    <mergeCell ref="F679:F692"/>
    <mergeCell ref="G679:G692"/>
    <mergeCell ref="H679:H692"/>
    <mergeCell ref="I679:I692"/>
    <mergeCell ref="H672:H678"/>
    <mergeCell ref="I672:I678"/>
    <mergeCell ref="J672:J678"/>
    <mergeCell ref="K672:K678"/>
    <mergeCell ref="L672:L678"/>
    <mergeCell ref="M672:M678"/>
    <mergeCell ref="B672:B678"/>
    <mergeCell ref="C672:C678"/>
    <mergeCell ref="D672:D678"/>
    <mergeCell ref="E672:E678"/>
    <mergeCell ref="F672:F678"/>
    <mergeCell ref="G672:G678"/>
    <mergeCell ref="J703:J704"/>
    <mergeCell ref="K703:K704"/>
    <mergeCell ref="L703:L704"/>
    <mergeCell ref="M703:M704"/>
    <mergeCell ref="N703:N704"/>
    <mergeCell ref="O703:O704"/>
    <mergeCell ref="N693:N696"/>
    <mergeCell ref="O693:O696"/>
    <mergeCell ref="B703:B704"/>
    <mergeCell ref="C703:C704"/>
    <mergeCell ref="D703:D704"/>
    <mergeCell ref="E703:E704"/>
    <mergeCell ref="F703:F704"/>
    <mergeCell ref="G703:G704"/>
    <mergeCell ref="H703:H704"/>
    <mergeCell ref="I703:I704"/>
    <mergeCell ref="H693:H696"/>
    <mergeCell ref="I693:I696"/>
    <mergeCell ref="J693:J696"/>
    <mergeCell ref="K693:K696"/>
    <mergeCell ref="L693:L696"/>
    <mergeCell ref="M693:M696"/>
    <mergeCell ref="B693:B696"/>
    <mergeCell ref="C693:C696"/>
    <mergeCell ref="D693:D696"/>
    <mergeCell ref="E693:E696"/>
    <mergeCell ref="F693:F696"/>
    <mergeCell ref="G693:G696"/>
    <mergeCell ref="J755:J756"/>
    <mergeCell ref="K755:K756"/>
    <mergeCell ref="L755:L756"/>
    <mergeCell ref="M755:M756"/>
    <mergeCell ref="N755:N756"/>
    <mergeCell ref="O755:O756"/>
    <mergeCell ref="N711:N714"/>
    <mergeCell ref="O711:O714"/>
    <mergeCell ref="B755:B756"/>
    <mergeCell ref="C755:C756"/>
    <mergeCell ref="D755:D756"/>
    <mergeCell ref="E755:E756"/>
    <mergeCell ref="F755:F756"/>
    <mergeCell ref="G755:G756"/>
    <mergeCell ref="H755:H756"/>
    <mergeCell ref="I755:I756"/>
    <mergeCell ref="H711:H714"/>
    <mergeCell ref="I711:I714"/>
    <mergeCell ref="J711:J714"/>
    <mergeCell ref="K711:K714"/>
    <mergeCell ref="L711:L714"/>
    <mergeCell ref="M711:M714"/>
    <mergeCell ref="B711:B714"/>
    <mergeCell ref="C711:C714"/>
    <mergeCell ref="D711:D714"/>
    <mergeCell ref="E711:E714"/>
    <mergeCell ref="F711:F714"/>
    <mergeCell ref="G711:G714"/>
    <mergeCell ref="J904:J905"/>
    <mergeCell ref="K904:K905"/>
    <mergeCell ref="L904:L905"/>
    <mergeCell ref="M904:M905"/>
    <mergeCell ref="N904:N905"/>
    <mergeCell ref="O904:O905"/>
    <mergeCell ref="N867:N868"/>
    <mergeCell ref="O867:O868"/>
    <mergeCell ref="B904:B905"/>
    <mergeCell ref="C904:C905"/>
    <mergeCell ref="D904:D905"/>
    <mergeCell ref="E904:E905"/>
    <mergeCell ref="F904:F905"/>
    <mergeCell ref="G904:G905"/>
    <mergeCell ref="H904:H905"/>
    <mergeCell ref="I904:I905"/>
    <mergeCell ref="H867:H868"/>
    <mergeCell ref="I867:I868"/>
    <mergeCell ref="J867:J868"/>
    <mergeCell ref="K867:K868"/>
    <mergeCell ref="L867:L868"/>
    <mergeCell ref="M867:M868"/>
    <mergeCell ref="B867:B868"/>
    <mergeCell ref="C867:C868"/>
    <mergeCell ref="D867:D868"/>
    <mergeCell ref="E867:E868"/>
    <mergeCell ref="F867:F868"/>
    <mergeCell ref="G867:G868"/>
    <mergeCell ref="J956:J958"/>
    <mergeCell ref="K956:K958"/>
    <mergeCell ref="L956:L958"/>
    <mergeCell ref="M956:M958"/>
    <mergeCell ref="N956:N958"/>
    <mergeCell ref="O956:O958"/>
    <mergeCell ref="N936:N937"/>
    <mergeCell ref="O936:O937"/>
    <mergeCell ref="B956:B958"/>
    <mergeCell ref="C956:C958"/>
    <mergeCell ref="D956:D958"/>
    <mergeCell ref="E956:E958"/>
    <mergeCell ref="F956:F958"/>
    <mergeCell ref="G956:G958"/>
    <mergeCell ref="H956:H958"/>
    <mergeCell ref="I956:I958"/>
    <mergeCell ref="H936:H937"/>
    <mergeCell ref="I936:I937"/>
    <mergeCell ref="J936:J937"/>
    <mergeCell ref="K936:K937"/>
    <mergeCell ref="L936:L937"/>
    <mergeCell ref="M936:M937"/>
    <mergeCell ref="B936:B937"/>
    <mergeCell ref="C936:C937"/>
    <mergeCell ref="D936:D937"/>
    <mergeCell ref="E936:E937"/>
    <mergeCell ref="F936:F937"/>
    <mergeCell ref="G936:G937"/>
    <mergeCell ref="J1155:J1156"/>
    <mergeCell ref="K1155:K1156"/>
    <mergeCell ref="L1155:L1156"/>
    <mergeCell ref="M1155:M1156"/>
    <mergeCell ref="N1155:N1156"/>
    <mergeCell ref="O1155:O1156"/>
    <mergeCell ref="N1004:N1005"/>
    <mergeCell ref="O1004:O1005"/>
    <mergeCell ref="B1155:B1156"/>
    <mergeCell ref="C1155:C1156"/>
    <mergeCell ref="D1155:D1156"/>
    <mergeCell ref="E1155:E1156"/>
    <mergeCell ref="F1155:F1156"/>
    <mergeCell ref="G1155:G1156"/>
    <mergeCell ref="H1155:H1156"/>
    <mergeCell ref="I1155:I1156"/>
    <mergeCell ref="H1004:H1005"/>
    <mergeCell ref="I1004:I1005"/>
    <mergeCell ref="J1004:J1005"/>
    <mergeCell ref="K1004:K1005"/>
    <mergeCell ref="L1004:L1005"/>
    <mergeCell ref="M1004:M1005"/>
    <mergeCell ref="B1004:B1005"/>
    <mergeCell ref="C1004:C1005"/>
    <mergeCell ref="D1004:D1005"/>
    <mergeCell ref="E1004:E1005"/>
    <mergeCell ref="F1004:F1005"/>
    <mergeCell ref="G1004:G1005"/>
    <mergeCell ref="J1432:J1433"/>
    <mergeCell ref="K1432:K1433"/>
    <mergeCell ref="L1432:L1433"/>
    <mergeCell ref="M1432:M1433"/>
    <mergeCell ref="N1432:N1433"/>
    <mergeCell ref="O1432:O1433"/>
    <mergeCell ref="N1158:N1159"/>
    <mergeCell ref="O1158:O1159"/>
    <mergeCell ref="B1432:B1433"/>
    <mergeCell ref="C1432:C1433"/>
    <mergeCell ref="D1432:D1433"/>
    <mergeCell ref="E1432:E1433"/>
    <mergeCell ref="F1432:F1433"/>
    <mergeCell ref="G1432:G1433"/>
    <mergeCell ref="H1432:H1433"/>
    <mergeCell ref="I1432:I1433"/>
    <mergeCell ref="H1158:H1159"/>
    <mergeCell ref="I1158:I1159"/>
    <mergeCell ref="J1158:J1159"/>
    <mergeCell ref="K1158:K1159"/>
    <mergeCell ref="L1158:L1159"/>
    <mergeCell ref="M1158:M1159"/>
    <mergeCell ref="B1158:B1159"/>
    <mergeCell ref="C1158:C1159"/>
    <mergeCell ref="D1158:D1159"/>
    <mergeCell ref="E1158:E1159"/>
    <mergeCell ref="F1158:F1159"/>
    <mergeCell ref="G1158:G1159"/>
    <mergeCell ref="J1601:J1602"/>
    <mergeCell ref="K1601:K1602"/>
    <mergeCell ref="L1601:L1602"/>
    <mergeCell ref="M1601:M1602"/>
    <mergeCell ref="N1601:N1602"/>
    <mergeCell ref="O1601:O1602"/>
    <mergeCell ref="N1480:N1481"/>
    <mergeCell ref="O1480:O1481"/>
    <mergeCell ref="B1601:B1602"/>
    <mergeCell ref="C1601:C1602"/>
    <mergeCell ref="D1601:D1602"/>
    <mergeCell ref="E1601:E1602"/>
    <mergeCell ref="F1601:F1602"/>
    <mergeCell ref="G1601:G1602"/>
    <mergeCell ref="H1601:H1602"/>
    <mergeCell ref="I1601:I1602"/>
    <mergeCell ref="H1480:H1481"/>
    <mergeCell ref="I1480:I1481"/>
    <mergeCell ref="J1480:J1481"/>
    <mergeCell ref="K1480:K1481"/>
    <mergeCell ref="L1480:L1481"/>
    <mergeCell ref="M1480:M1481"/>
    <mergeCell ref="B1480:B1481"/>
    <mergeCell ref="C1480:C1481"/>
    <mergeCell ref="D1480:D1481"/>
    <mergeCell ref="E1480:E1481"/>
    <mergeCell ref="F1480:F1481"/>
    <mergeCell ref="G1480:G1481"/>
    <mergeCell ref="N1746:N1747"/>
    <mergeCell ref="O1746:O1747"/>
    <mergeCell ref="B1758:B1759"/>
    <mergeCell ref="C1758:C1759"/>
    <mergeCell ref="D1758:D1759"/>
    <mergeCell ref="E1758:E1759"/>
    <mergeCell ref="F1758:F1759"/>
    <mergeCell ref="G1758:G1759"/>
    <mergeCell ref="H1758:H1759"/>
    <mergeCell ref="I1758:I1759"/>
    <mergeCell ref="H1746:H1747"/>
    <mergeCell ref="I1746:I1747"/>
    <mergeCell ref="J1746:J1747"/>
    <mergeCell ref="K1746:K1747"/>
    <mergeCell ref="L1746:L1747"/>
    <mergeCell ref="M1746:M1747"/>
    <mergeCell ref="B1746:B1747"/>
    <mergeCell ref="C1746:C1747"/>
    <mergeCell ref="D1746:D1747"/>
    <mergeCell ref="E1746:E1747"/>
    <mergeCell ref="F1746:F1747"/>
    <mergeCell ref="G1746:G1747"/>
    <mergeCell ref="J1758:J1759"/>
    <mergeCell ref="K1758:K1759"/>
    <mergeCell ref="L1758:L1759"/>
    <mergeCell ref="M1758:M1759"/>
    <mergeCell ref="N1758:N1759"/>
    <mergeCell ref="O1758:O1759"/>
  </mergeCells>
  <pageMargins left="0.23622047244094488" right="0.23622047244094488" top="0.59055118110236215" bottom="0.51181102362204722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1.1.2015.-31.12.2015.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Broj U In2</dc:title>
  <dc:creator>Nikolina Atalić</dc:creator>
  <cp:lastModifiedBy>dpancic</cp:lastModifiedBy>
  <cp:lastPrinted>2016-02-24T08:11:40Z</cp:lastPrinted>
  <dcterms:created xsi:type="dcterms:W3CDTF">2016-01-15T08:06:05Z</dcterms:created>
  <dcterms:modified xsi:type="dcterms:W3CDTF">2016-02-24T12:35:20Z</dcterms:modified>
</cp:coreProperties>
</file>